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350" activeTab="0"/>
  </bookViews>
  <sheets>
    <sheet name="Club Single Fee calculator" sheetId="1" r:id="rId1"/>
    <sheet name="Club Income Calculator" sheetId="2" r:id="rId2"/>
    <sheet name="Tournament Entries Calculator" sheetId="3" r:id="rId3"/>
  </sheets>
  <definedNames>
    <definedName name="_xlnm.Print_Area" localSheetId="0">'Club Single Fee calculator'!$A$1:$M$37</definedName>
    <definedName name="_xlnm.Print_Area" localSheetId="2">'Tournament Entries Calculator'!$A$1:$E$15</definedName>
  </definedNames>
  <calcPr fullCalcOnLoad="1"/>
</workbook>
</file>

<file path=xl/comments1.xml><?xml version="1.0" encoding="utf-8"?>
<comments xmlns="http://schemas.openxmlformats.org/spreadsheetml/2006/main">
  <authors>
    <author>blang</author>
    <author>Bruce-PC</author>
  </authors>
  <commentList>
    <comment ref="C3" authorId="0">
      <text>
        <r>
          <rPr>
            <b/>
            <sz val="9"/>
            <rFont val="Tahoma"/>
            <family val="2"/>
          </rPr>
          <t>% of members that pay Club Fees online</t>
        </r>
      </text>
    </comment>
    <comment ref="C15" authorId="0">
      <text>
        <r>
          <rPr>
            <b/>
            <sz val="9"/>
            <rFont val="Tahoma"/>
            <family val="2"/>
          </rPr>
          <t>% of members that pay Club Fees online</t>
        </r>
      </text>
    </comment>
    <comment ref="C27" authorId="0">
      <text>
        <r>
          <rPr>
            <b/>
            <sz val="9"/>
            <rFont val="Tahoma"/>
            <family val="2"/>
          </rPr>
          <t>% of members that pay Club Fees online</t>
        </r>
      </text>
    </comment>
    <comment ref="E21" authorId="0">
      <text>
        <r>
          <rPr>
            <b/>
            <sz val="9"/>
            <rFont val="Tahoma"/>
            <family val="2"/>
          </rPr>
          <t>ARCHERY SA:</t>
        </r>
        <r>
          <rPr>
            <sz val="9"/>
            <rFont val="Tahoma"/>
            <family val="2"/>
          </rPr>
          <t xml:space="preserve">
Expressed as % of income</t>
        </r>
      </text>
    </comment>
    <comment ref="E9" authorId="0">
      <text>
        <r>
          <rPr>
            <b/>
            <sz val="9"/>
            <rFont val="Tahoma"/>
            <family val="2"/>
          </rPr>
          <t>ARCHERY SA:</t>
        </r>
        <r>
          <rPr>
            <sz val="9"/>
            <rFont val="Tahoma"/>
            <family val="2"/>
          </rPr>
          <t xml:space="preserve">
Expressed as % of income</t>
        </r>
      </text>
    </comment>
    <comment ref="C39" authorId="0">
      <text>
        <r>
          <rPr>
            <b/>
            <sz val="9"/>
            <rFont val="Tahoma"/>
            <family val="2"/>
          </rPr>
          <t>% of members that pay Club Fees online</t>
        </r>
      </text>
    </comment>
    <comment ref="E45" authorId="0">
      <text>
        <r>
          <rPr>
            <b/>
            <sz val="9"/>
            <rFont val="Tahoma"/>
            <family val="2"/>
          </rPr>
          <t>ARCHERY SA:</t>
        </r>
        <r>
          <rPr>
            <sz val="9"/>
            <rFont val="Tahoma"/>
            <family val="2"/>
          </rPr>
          <t xml:space="preserve">
Expressed as % of income</t>
        </r>
      </text>
    </comment>
    <comment ref="C9" authorId="1">
      <text>
        <r>
          <rPr>
            <b/>
            <sz val="9"/>
            <rFont val="Tahoma"/>
            <family val="2"/>
          </rPr>
          <t>Insert your Club's TOTAL adult fee</t>
        </r>
        <r>
          <rPr>
            <sz val="9"/>
            <rFont val="Tahoma"/>
            <family val="2"/>
          </rPr>
          <t xml:space="preserve">
</t>
        </r>
      </text>
    </comment>
    <comment ref="C21" authorId="1">
      <text>
        <r>
          <rPr>
            <b/>
            <sz val="9"/>
            <rFont val="Tahoma"/>
            <family val="2"/>
          </rPr>
          <t xml:space="preserve">Insert your Club's TOTAL minor fee
</t>
        </r>
        <r>
          <rPr>
            <sz val="9"/>
            <rFont val="Tahoma"/>
            <family val="2"/>
          </rPr>
          <t xml:space="preserve">
</t>
        </r>
      </text>
    </comment>
    <comment ref="C33" authorId="1">
      <text>
        <r>
          <rPr>
            <b/>
            <sz val="9"/>
            <rFont val="Tahoma"/>
            <family val="2"/>
          </rPr>
          <t>ARCHERY SA:
This figure is equivalent to the cost of two adult memberships, regardless of the size of the family</t>
        </r>
      </text>
    </comment>
    <comment ref="D5" authorId="0">
      <text>
        <r>
          <rPr>
            <sz val="9"/>
            <rFont val="Tahoma"/>
            <family val="2"/>
          </rPr>
          <t>The % that the Club will pay (built into fees). Simply insert the rate for the Club &amp; RGB fees - 
the AA fee &amp; ARCSA fee is 2.2% (both have absorbed 2.2%) (Insert any % between 0% &amp; 4.4%)</t>
        </r>
      </text>
    </comment>
    <comment ref="D6" authorId="0">
      <text>
        <r>
          <rPr>
            <sz val="9"/>
            <rFont val="Tahoma"/>
            <family val="2"/>
          </rPr>
          <t>The % that the Club will pay (built into fees). Simply insert the rate for the Club &amp; RGB fees - 
the AA fee &amp; ARCSA fee is 2.2% (both have absorbed 2.2%) (Insert any % between 0% &amp; 4.4%)</t>
        </r>
      </text>
    </comment>
    <comment ref="D7" authorId="0">
      <text>
        <r>
          <rPr>
            <sz val="9"/>
            <rFont val="Tahoma"/>
            <family val="2"/>
          </rPr>
          <t>The % that the Club will pay (built into fees). Simply insert the rate for the Club &amp; RGB fees - 
the AA fee &amp; ARCSA fee is 2.2% (both have absorbed 2.2%) (Insert any % between 0% &amp; 4.4%)</t>
        </r>
      </text>
    </comment>
    <comment ref="E33" authorId="0">
      <text>
        <r>
          <rPr>
            <b/>
            <sz val="9"/>
            <rFont val="Tahoma"/>
            <family val="2"/>
          </rPr>
          <t>ARCHERY SA:</t>
        </r>
        <r>
          <rPr>
            <sz val="9"/>
            <rFont val="Tahoma"/>
            <family val="2"/>
          </rPr>
          <t xml:space="preserve">
Expressed as % of income</t>
        </r>
      </text>
    </comment>
    <comment ref="C51" authorId="0">
      <text>
        <r>
          <rPr>
            <b/>
            <sz val="9"/>
            <rFont val="Tahoma"/>
            <family val="2"/>
          </rPr>
          <t>% of members that pay Club Fees online</t>
        </r>
      </text>
    </comment>
    <comment ref="C57" authorId="1">
      <text>
        <r>
          <rPr>
            <b/>
            <sz val="9"/>
            <rFont val="Tahoma"/>
            <family val="2"/>
          </rPr>
          <t>Insert your Club's TOTAL Associate (non-shooting) fee</t>
        </r>
        <r>
          <rPr>
            <sz val="9"/>
            <rFont val="Tahoma"/>
            <family val="2"/>
          </rPr>
          <t xml:space="preserve">
</t>
        </r>
      </text>
    </comment>
    <comment ref="E57" authorId="0">
      <text>
        <r>
          <rPr>
            <b/>
            <sz val="9"/>
            <rFont val="Tahoma"/>
            <family val="2"/>
          </rPr>
          <t>ARCHERY SA:</t>
        </r>
        <r>
          <rPr>
            <sz val="9"/>
            <rFont val="Tahoma"/>
            <family val="2"/>
          </rPr>
          <t xml:space="preserve">
Expressed as % of income</t>
        </r>
      </text>
    </comment>
    <comment ref="B55" authorId="1">
      <text>
        <r>
          <rPr>
            <b/>
            <sz val="9"/>
            <rFont val="Tahoma"/>
            <family val="2"/>
          </rPr>
          <t>Nominal fee so as to show in reports - the fee is not collected by ARCHERY SA</t>
        </r>
      </text>
    </comment>
    <comment ref="C45" authorId="1">
      <text>
        <r>
          <rPr>
            <b/>
            <sz val="9"/>
            <rFont val="Tahoma"/>
            <family val="2"/>
          </rPr>
          <t xml:space="preserve">Insert your Club's TOTAL Associate (shooting) fee
</t>
        </r>
        <r>
          <rPr>
            <sz val="9"/>
            <rFont val="Tahoma"/>
            <family val="2"/>
          </rPr>
          <t xml:space="preserve">
</t>
        </r>
      </text>
    </comment>
  </commentList>
</comments>
</file>

<file path=xl/comments2.xml><?xml version="1.0" encoding="utf-8"?>
<comments xmlns="http://schemas.openxmlformats.org/spreadsheetml/2006/main">
  <authors>
    <author>blang</author>
    <author>Bruce-PC</author>
  </authors>
  <commentList>
    <comment ref="D9" authorId="0">
      <text>
        <r>
          <rPr>
            <b/>
            <sz val="9"/>
            <rFont val="Tahoma"/>
            <family val="2"/>
          </rPr>
          <t>ARCHERY SA:</t>
        </r>
        <r>
          <rPr>
            <sz val="9"/>
            <rFont val="Tahoma"/>
            <family val="2"/>
          </rPr>
          <t xml:space="preserve">
Expressed as % of income</t>
        </r>
      </text>
    </comment>
    <comment ref="C15" authorId="0">
      <text>
        <r>
          <rPr>
            <b/>
            <sz val="9"/>
            <rFont val="Tahoma"/>
            <family val="2"/>
          </rPr>
          <t>% of members that pay Club Fees online</t>
        </r>
      </text>
    </comment>
    <comment ref="B27" authorId="0">
      <text>
        <r>
          <rPr>
            <b/>
            <sz val="9"/>
            <rFont val="Tahoma"/>
            <family val="2"/>
          </rPr>
          <t xml:space="preserve">ARCHERY SA:
</t>
        </r>
        <r>
          <rPr>
            <sz val="9"/>
            <rFont val="Tahoma"/>
            <family val="2"/>
          </rPr>
          <t xml:space="preserve">This figure is equivalent to the cost of two adult memberships, regardless of the size of the family
</t>
        </r>
      </text>
    </comment>
    <comment ref="C27" authorId="0">
      <text>
        <r>
          <rPr>
            <b/>
            <sz val="9"/>
            <rFont val="Tahoma"/>
            <family val="2"/>
          </rPr>
          <t>% of members that pay Club Fees online</t>
        </r>
      </text>
    </comment>
    <comment ref="C39" authorId="0">
      <text>
        <r>
          <rPr>
            <b/>
            <sz val="9"/>
            <rFont val="Tahoma"/>
            <family val="2"/>
          </rPr>
          <t>% of members that pay Club Fees online</t>
        </r>
      </text>
    </comment>
    <comment ref="D45" authorId="0">
      <text>
        <r>
          <rPr>
            <b/>
            <sz val="9"/>
            <rFont val="Tahoma"/>
            <family val="2"/>
          </rPr>
          <t>ARCHERY SA:</t>
        </r>
        <r>
          <rPr>
            <sz val="9"/>
            <rFont val="Tahoma"/>
            <family val="2"/>
          </rPr>
          <t xml:space="preserve">
Expressed as % of income</t>
        </r>
      </text>
    </comment>
    <comment ref="B3" authorId="0">
      <text>
        <r>
          <rPr>
            <b/>
            <sz val="9"/>
            <rFont val="Tahoma"/>
            <family val="2"/>
          </rPr>
          <t>Amount on Club Member Fees calculator sheet at B3</t>
        </r>
      </text>
    </comment>
    <comment ref="B15" authorId="0">
      <text>
        <r>
          <rPr>
            <b/>
            <sz val="9"/>
            <rFont val="Tahoma"/>
            <family val="2"/>
          </rPr>
          <t>Amount on Club Member Fees calculator sheet at B15</t>
        </r>
      </text>
    </comment>
    <comment ref="K10" authorId="1">
      <text>
        <r>
          <rPr>
            <b/>
            <sz val="9"/>
            <rFont val="Tahoma"/>
            <family val="2"/>
          </rPr>
          <t xml:space="preserve">ARCHERY SA:
</t>
        </r>
        <r>
          <rPr>
            <sz val="9"/>
            <rFont val="Tahoma"/>
            <family val="2"/>
          </rPr>
          <t xml:space="preserve">Clubs are in the unique position of being able to create income to offset their costs - sponsorships, grants, promotions and other fund-raising opportunites are out there! (Or simply increase the Club's coaching course fee by $10 and it should cover ALL processing fees of Club activities/members, at NO COST to your members and gain some excess funds in the process.)
Do you want to be seen as a Club that puts the cost of the Club back onto its members? (Why penalise those members who pay online (saving your Club time and effort) by requiring they pay the processing fee.)
After all, the idea of joining a Club is to pull together to derive benefits to members (i.e. provide a Club budget that takes account of the processing fees rather than adding them on, expecting members to pay the extra).
The membership database and all the benefits that accrue, are provided free of charge to Clubs. So, if the total processing fees are viewed as the costs of the service - it is far cheaper (in time as well as money) than a Club attempting to provide the same level of service on its own or through another provider.
</t>
        </r>
      </text>
    </comment>
    <comment ref="D21" authorId="0">
      <text>
        <r>
          <rPr>
            <b/>
            <sz val="9"/>
            <rFont val="Tahoma"/>
            <family val="2"/>
          </rPr>
          <t>ARCHERY SA:</t>
        </r>
        <r>
          <rPr>
            <sz val="9"/>
            <rFont val="Tahoma"/>
            <family val="2"/>
          </rPr>
          <t xml:space="preserve">
Expressed as % of income</t>
        </r>
      </text>
    </comment>
    <comment ref="D33" authorId="0">
      <text>
        <r>
          <rPr>
            <b/>
            <sz val="9"/>
            <rFont val="Tahoma"/>
            <family val="2"/>
          </rPr>
          <t>ARCHERY SA:</t>
        </r>
        <r>
          <rPr>
            <sz val="9"/>
            <rFont val="Tahoma"/>
            <family val="2"/>
          </rPr>
          <t xml:space="preserve">
Expressed as % of income</t>
        </r>
      </text>
    </comment>
    <comment ref="B51" authorId="0">
      <text>
        <r>
          <rPr>
            <b/>
            <sz val="9"/>
            <rFont val="Tahoma"/>
            <family val="2"/>
          </rPr>
          <t>Amount on Club Member Fees calculator sheet at B3</t>
        </r>
      </text>
    </comment>
    <comment ref="D57" authorId="0">
      <text>
        <r>
          <rPr>
            <b/>
            <sz val="9"/>
            <rFont val="Tahoma"/>
            <family val="2"/>
          </rPr>
          <t>ARCHERY SA:</t>
        </r>
        <r>
          <rPr>
            <sz val="9"/>
            <rFont val="Tahoma"/>
            <family val="2"/>
          </rPr>
          <t xml:space="preserve">
Expressed as % of income</t>
        </r>
      </text>
    </comment>
    <comment ref="G7" authorId="1">
      <text>
        <r>
          <rPr>
            <b/>
            <sz val="9"/>
            <rFont val="Tahoma"/>
            <family val="2"/>
          </rPr>
          <t>Shooting Associates</t>
        </r>
      </text>
    </comment>
    <comment ref="G8" authorId="1">
      <text>
        <r>
          <rPr>
            <b/>
            <sz val="9"/>
            <rFont val="Tahoma"/>
            <family val="2"/>
          </rPr>
          <t>NON-shooting Associates</t>
        </r>
      </text>
    </comment>
  </commentList>
</comments>
</file>

<file path=xl/comments3.xml><?xml version="1.0" encoding="utf-8"?>
<comments xmlns="http://schemas.openxmlformats.org/spreadsheetml/2006/main">
  <authors>
    <author>blang</author>
    <author>Bruce-PC</author>
  </authors>
  <commentList>
    <comment ref="A9" authorId="0">
      <text>
        <r>
          <rPr>
            <b/>
            <sz val="9"/>
            <rFont val="Tahoma"/>
            <family val="2"/>
          </rPr>
          <t xml:space="preserve">ARCHERY SA:
</t>
        </r>
        <r>
          <rPr>
            <sz val="9"/>
            <rFont val="Tahoma"/>
            <family val="2"/>
          </rPr>
          <t>Insert the Number of the Club's Members</t>
        </r>
      </text>
    </comment>
    <comment ref="C15" authorId="0">
      <text>
        <r>
          <rPr>
            <b/>
            <sz val="9"/>
            <rFont val="Tahoma"/>
            <family val="2"/>
          </rPr>
          <t>ARCHERY SA:</t>
        </r>
        <r>
          <rPr>
            <sz val="9"/>
            <rFont val="Tahoma"/>
            <family val="2"/>
          </rPr>
          <t xml:space="preserve">
Insert amount "per Competitor" the Club wishes to receive</t>
        </r>
      </text>
    </comment>
    <comment ref="C16" authorId="0">
      <text>
        <r>
          <rPr>
            <b/>
            <sz val="9"/>
            <rFont val="Tahoma"/>
            <family val="2"/>
          </rPr>
          <t>ARCHERY SA:</t>
        </r>
        <r>
          <rPr>
            <sz val="9"/>
            <rFont val="Tahoma"/>
            <family val="2"/>
          </rPr>
          <t xml:space="preserve">
STG processing fee: if entry fee is $25 or less</t>
        </r>
      </text>
    </comment>
    <comment ref="A20" authorId="0">
      <text>
        <r>
          <rPr>
            <b/>
            <sz val="9"/>
            <rFont val="Tahoma"/>
            <family val="2"/>
          </rPr>
          <t xml:space="preserve">ARCHERY SA:
</t>
        </r>
        <r>
          <rPr>
            <sz val="9"/>
            <rFont val="Tahoma"/>
            <family val="2"/>
          </rPr>
          <t>Insert Number of Entries Expected</t>
        </r>
      </text>
    </comment>
    <comment ref="H18" authorId="0">
      <text>
        <r>
          <rPr>
            <b/>
            <sz val="9"/>
            <rFont val="Tahoma"/>
            <family val="2"/>
          </rPr>
          <t xml:space="preserve">ARCHERY SA:
</t>
        </r>
        <r>
          <rPr>
            <sz val="9"/>
            <rFont val="Tahoma"/>
            <family val="2"/>
          </rPr>
          <t>This is the amount "per Competitor" the Club wishes to charge</t>
        </r>
      </text>
    </comment>
    <comment ref="H16" authorId="0">
      <text>
        <r>
          <rPr>
            <b/>
            <sz val="9"/>
            <rFont val="Tahoma"/>
            <family val="2"/>
          </rPr>
          <t>ARCHERY SA:</t>
        </r>
        <r>
          <rPr>
            <sz val="9"/>
            <rFont val="Tahoma"/>
            <family val="2"/>
          </rPr>
          <t xml:space="preserve">
STG processing fee: online transaction if entry fee $25 or less</t>
        </r>
      </text>
    </comment>
    <comment ref="I16" authorId="1">
      <text>
        <r>
          <rPr>
            <b/>
            <sz val="9"/>
            <rFont val="Tahoma"/>
            <family val="2"/>
          </rPr>
          <t xml:space="preserve">ARCHERY SA:
</t>
        </r>
        <r>
          <rPr>
            <sz val="9"/>
            <rFont val="Tahoma"/>
            <family val="2"/>
          </rPr>
          <t>STG processing fee: if entry fee is more than $25</t>
        </r>
      </text>
    </comment>
    <comment ref="D16" authorId="1">
      <text>
        <r>
          <rPr>
            <b/>
            <sz val="9"/>
            <rFont val="Tahoma"/>
            <family val="2"/>
          </rPr>
          <t xml:space="preserve">ARCHERY SA:
</t>
        </r>
        <r>
          <rPr>
            <sz val="9"/>
            <rFont val="Tahoma"/>
            <family val="2"/>
          </rPr>
          <t xml:space="preserve">STG processing fee: if entry fee is more than $25
</t>
        </r>
      </text>
    </comment>
  </commentList>
</comments>
</file>

<file path=xl/sharedStrings.xml><?xml version="1.0" encoding="utf-8"?>
<sst xmlns="http://schemas.openxmlformats.org/spreadsheetml/2006/main" count="241" uniqueCount="95">
  <si>
    <t>Per Member</t>
  </si>
  <si>
    <t>Assumptions</t>
  </si>
  <si>
    <t>Number of Club Members</t>
  </si>
  <si>
    <t>AA fee - adult</t>
  </si>
  <si>
    <t>CLUB FEES INCOME</t>
  </si>
  <si>
    <t>Pay AA</t>
  </si>
  <si>
    <t>Total Fee</t>
  </si>
  <si>
    <t>Club Income</t>
  </si>
  <si>
    <t>Club (Adults)</t>
  </si>
  <si>
    <t>Club (Minors)</t>
  </si>
  <si>
    <t>AA fee - minor</t>
  </si>
  <si>
    <t>Club (Family)</t>
  </si>
  <si>
    <t>AA fee - family</t>
  </si>
  <si>
    <t>Minors</t>
  </si>
  <si>
    <t>Families</t>
  </si>
  <si>
    <t>Total received</t>
  </si>
  <si>
    <t>Club fees</t>
  </si>
  <si>
    <t>AA Fees</t>
  </si>
  <si>
    <t>Adults</t>
  </si>
  <si>
    <t>Total Club membership (assumes Family = 3)</t>
  </si>
  <si>
    <t>FEES</t>
  </si>
  <si>
    <t>Cost built into member fees</t>
  </si>
  <si>
    <t>Per Member (assume family =3)</t>
  </si>
  <si>
    <t>Rate</t>
  </si>
  <si>
    <t xml:space="preserve">ADULT Club Membership Fee is </t>
  </si>
  <si>
    <t xml:space="preserve">MINOR Club Membership Fee is </t>
  </si>
  <si>
    <t xml:space="preserve">FAMILY Club Membership Fee is </t>
  </si>
  <si>
    <t>NOTE: ONLY THE PURPLE CELLS CAN BE CHANGED</t>
  </si>
  <si>
    <t>online fee</t>
  </si>
  <si>
    <t>Calculator to Determine Entry Fees for Tournaments/QREs</t>
  </si>
  <si>
    <t>Budget To receive</t>
  </si>
  <si>
    <t>CLUB MEMBERSHIP - USING ONLINE MEMBERSHIP</t>
  </si>
  <si>
    <t>Total Income</t>
  </si>
  <si>
    <r>
      <t xml:space="preserve">Non-incorporated entry fee
</t>
    </r>
    <r>
      <rPr>
        <b/>
        <sz val="12"/>
        <color indexed="8"/>
        <rFont val="Calibri"/>
        <family val="2"/>
      </rPr>
      <t>(amount charged PLUS admin fee)</t>
    </r>
  </si>
  <si>
    <t>(divided by total number of members)</t>
  </si>
  <si>
    <t>RGB fee - adult</t>
  </si>
  <si>
    <t>Pay RGB</t>
  </si>
  <si>
    <t>RGB fees</t>
  </si>
  <si>
    <t>RGB fee - minor</t>
  </si>
  <si>
    <t>RGB fee - family</t>
  </si>
  <si>
    <t xml:space="preserve">ASSOCIATE Club Membership Fee is </t>
  </si>
  <si>
    <t>Associates</t>
  </si>
  <si>
    <t>Club (Shooting)</t>
  </si>
  <si>
    <t>Club's Nett Income</t>
  </si>
  <si>
    <t>Member Fee (all inclusive)</t>
  </si>
  <si>
    <t>Member Fee</t>
  </si>
  <si>
    <t>ARCHERY SA</t>
  </si>
  <si>
    <t>Archery Australia</t>
  </si>
  <si>
    <t>ARCSA/AA absorbed</t>
  </si>
  <si>
    <t>Total Member Fee</t>
  </si>
  <si>
    <t>$1.10 for amounts up to $25</t>
  </si>
  <si>
    <t>Total STG Fees</t>
  </si>
  <si>
    <t>Pay STG</t>
  </si>
  <si>
    <t>STG Calculator - Family Membership</t>
  </si>
  <si>
    <t>STG Calculator - Minor Membership</t>
  </si>
  <si>
    <t>STG Calculator - Adult Membership</t>
  </si>
  <si>
    <t>per member</t>
  </si>
  <si>
    <t>per Member if 50% of ONLINE FEE SUBSIDISED</t>
  </si>
  <si>
    <t>per Member if 100% of FEE SUBSIDISED</t>
  </si>
  <si>
    <t>Entry over $25</t>
  </si>
  <si>
    <t>Entry &lt;= $25</t>
  </si>
  <si>
    <t>Over $25 - 4.4%</t>
  </si>
  <si>
    <t>Expected Inc</t>
  </si>
  <si>
    <t>Entry fee charged</t>
  </si>
  <si>
    <t>Entry fee to charge</t>
  </si>
  <si>
    <t>Use if entry &lt;= $25</t>
  </si>
  <si>
    <t>Use if entry over $25</t>
  </si>
  <si>
    <t>Fees paid to STG</t>
  </si>
  <si>
    <t>Expected number of Entrants</t>
  </si>
  <si>
    <t>STG Fees are:</t>
  </si>
  <si>
    <t>as % of total inc</t>
  </si>
  <si>
    <t>Please note - ONLY the purple cells can be altered</t>
  </si>
  <si>
    <t>(Adult, Minor and Associate Membership)</t>
  </si>
  <si>
    <t>This sheet is only to calculate the single Club fee for each type</t>
  </si>
  <si>
    <t>Enter the Numbers of Club Members</t>
  </si>
  <si>
    <r>
      <t xml:space="preserve">YOU CAN ONLY CHANGE </t>
    </r>
    <r>
      <rPr>
        <b/>
        <i/>
        <sz val="14"/>
        <color indexed="40"/>
        <rFont val="Calibri"/>
        <family val="2"/>
      </rPr>
      <t>FEES &amp; %</t>
    </r>
    <r>
      <rPr>
        <b/>
        <i/>
        <sz val="14"/>
        <color indexed="51"/>
        <rFont val="Calibri"/>
        <family val="2"/>
      </rPr>
      <t xml:space="preserve"> ON  THIS SHEET</t>
    </r>
  </si>
  <si>
    <t>Families (x3)</t>
  </si>
  <si>
    <t>Club Member fee (to enter in STG)</t>
  </si>
  <si>
    <t>ADULT Club Component</t>
  </si>
  <si>
    <t>MINOR Club Component</t>
  </si>
  <si>
    <t>FAMILY Club Component</t>
  </si>
  <si>
    <t>ASSOCIATE Club Component</t>
  </si>
  <si>
    <r>
      <t xml:space="preserve">Reverse Order
</t>
    </r>
    <r>
      <rPr>
        <b/>
        <sz val="12"/>
        <color indexed="51"/>
        <rFont val="Calibri"/>
        <family val="2"/>
      </rPr>
      <t>(incorporating the admin fee as a part of the entry fee)</t>
    </r>
  </si>
  <si>
    <t>STG fees as % of total membership income</t>
  </si>
  <si>
    <t>Club (NON-Shooting)</t>
  </si>
  <si>
    <t>Associates (shooting)</t>
  </si>
  <si>
    <t>Associates (NON-shooting)</t>
  </si>
  <si>
    <r>
      <t>Associates</t>
    </r>
    <r>
      <rPr>
        <sz val="8"/>
        <color indexed="8"/>
        <rFont val="Calibri"/>
        <family val="2"/>
      </rPr>
      <t xml:space="preserve"> (NON-shooting)</t>
    </r>
  </si>
  <si>
    <r>
      <t>Associates</t>
    </r>
    <r>
      <rPr>
        <sz val="8"/>
        <color indexed="8"/>
        <rFont val="Calibri"/>
        <family val="2"/>
      </rPr>
      <t xml:space="preserve"> (shooting)</t>
    </r>
  </si>
  <si>
    <t>STG Calculator - Associate (NON-shooting)</t>
  </si>
  <si>
    <t>STG Calculator - Associate (shooting)</t>
  </si>
  <si>
    <t>NS Associates</t>
  </si>
  <si>
    <t>Overall cost per member, built into Club budget</t>
  </si>
  <si>
    <t>Member Fee (less STG fee:AA/RGB)</t>
  </si>
  <si>
    <t>(STG Club fee component)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</si>
</sst>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Red]\-&quot;$&quot;#,##0.0"/>
    <numFmt numFmtId="166" formatCode="&quot;$&quot;#,##0.0000;[Red]\-&quot;$&quot;#,##0.0000"/>
    <numFmt numFmtId="167" formatCode="&quot;$&quot;#,##0.00"/>
    <numFmt numFmtId="168" formatCode="&quot;$&quot;#,##0"/>
    <numFmt numFmtId="169" formatCode="&quot;$&quot;#,##0.0"/>
    <numFmt numFmtId="170" formatCode="mmm\-yyyy"/>
    <numFmt numFmtId="171" formatCode="0.0;\-0.0;0.0;@"/>
    <numFmt numFmtId="172" formatCode="0.000%"/>
    <numFmt numFmtId="173" formatCode="&quot;$&quot;#,##0.000000"/>
    <numFmt numFmtId="174" formatCode="&quot;$&quot;#,##0.0000000"/>
    <numFmt numFmtId="175" formatCode="#,##0_ ;[Red]\-#,##0\ "/>
  </numFmts>
  <fonts count="161">
    <font>
      <sz val="11"/>
      <color theme="1"/>
      <name val="Calibri"/>
      <family val="2"/>
    </font>
    <font>
      <sz val="11"/>
      <color indexed="8"/>
      <name val="Calibri"/>
      <family val="2"/>
    </font>
    <font>
      <sz val="9"/>
      <name val="Tahoma"/>
      <family val="2"/>
    </font>
    <font>
      <b/>
      <sz val="9"/>
      <name val="Tahoma"/>
      <family val="2"/>
    </font>
    <font>
      <b/>
      <sz val="12"/>
      <color indexed="8"/>
      <name val="Calibri"/>
      <family val="2"/>
    </font>
    <font>
      <u val="single"/>
      <sz val="10"/>
      <color indexed="12"/>
      <name val="Arial"/>
      <family val="2"/>
    </font>
    <font>
      <b/>
      <i/>
      <sz val="14"/>
      <color indexed="51"/>
      <name val="Calibri"/>
      <family val="2"/>
    </font>
    <font>
      <b/>
      <sz val="12"/>
      <color indexed="51"/>
      <name val="Calibri"/>
      <family val="2"/>
    </font>
    <font>
      <b/>
      <i/>
      <sz val="14"/>
      <color indexed="40"/>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0"/>
      <color indexed="8"/>
      <name val="Calibri"/>
      <family val="2"/>
    </font>
    <font>
      <b/>
      <sz val="16"/>
      <color indexed="8"/>
      <name val="Calibri"/>
      <family val="2"/>
    </font>
    <font>
      <b/>
      <sz val="20"/>
      <color indexed="10"/>
      <name val="Calibri"/>
      <family val="2"/>
    </font>
    <font>
      <b/>
      <sz val="9"/>
      <color indexed="8"/>
      <name val="Calibri"/>
      <family val="2"/>
    </font>
    <font>
      <sz val="9"/>
      <color indexed="8"/>
      <name val="Calibri"/>
      <family val="2"/>
    </font>
    <font>
      <b/>
      <sz val="9"/>
      <name val="Calibri"/>
      <family val="2"/>
    </font>
    <font>
      <b/>
      <i/>
      <sz val="9"/>
      <color indexed="8"/>
      <name val="Calibri"/>
      <family val="2"/>
    </font>
    <font>
      <b/>
      <i/>
      <sz val="9"/>
      <color indexed="10"/>
      <name val="Calibri"/>
      <family val="2"/>
    </font>
    <font>
      <sz val="9"/>
      <color indexed="10"/>
      <name val="Calibri"/>
      <family val="2"/>
    </font>
    <font>
      <b/>
      <sz val="9"/>
      <color indexed="10"/>
      <name val="Calibri"/>
      <family val="2"/>
    </font>
    <font>
      <b/>
      <i/>
      <sz val="10"/>
      <color indexed="8"/>
      <name val="Calibri"/>
      <family val="2"/>
    </font>
    <font>
      <sz val="10"/>
      <color indexed="8"/>
      <name val="Calibri"/>
      <family val="2"/>
    </font>
    <font>
      <sz val="10"/>
      <color indexed="13"/>
      <name val="Calibri"/>
      <family val="2"/>
    </font>
    <font>
      <b/>
      <sz val="10"/>
      <color indexed="56"/>
      <name val="Calibri"/>
      <family val="2"/>
    </font>
    <font>
      <i/>
      <sz val="10"/>
      <color indexed="8"/>
      <name val="Calibri"/>
      <family val="2"/>
    </font>
    <font>
      <b/>
      <sz val="10"/>
      <color indexed="13"/>
      <name val="Calibri"/>
      <family val="2"/>
    </font>
    <font>
      <b/>
      <i/>
      <sz val="8"/>
      <color indexed="23"/>
      <name val="Calibri"/>
      <family val="2"/>
    </font>
    <font>
      <b/>
      <sz val="10"/>
      <color indexed="10"/>
      <name val="Calibri"/>
      <family val="2"/>
    </font>
    <font>
      <b/>
      <sz val="8"/>
      <color indexed="23"/>
      <name val="Calibri"/>
      <family val="2"/>
    </font>
    <font>
      <b/>
      <sz val="8"/>
      <color indexed="8"/>
      <name val="Calibri"/>
      <family val="2"/>
    </font>
    <font>
      <i/>
      <sz val="11"/>
      <color indexed="8"/>
      <name val="Calibri"/>
      <family val="2"/>
    </font>
    <font>
      <sz val="9"/>
      <color indexed="55"/>
      <name val="Calibri"/>
      <family val="2"/>
    </font>
    <font>
      <sz val="10"/>
      <color indexed="18"/>
      <name val="Calibri"/>
      <family val="2"/>
    </font>
    <font>
      <b/>
      <i/>
      <sz val="9"/>
      <name val="Calibri"/>
      <family val="2"/>
    </font>
    <font>
      <sz val="9"/>
      <name val="Calibri"/>
      <family val="2"/>
    </font>
    <font>
      <sz val="11"/>
      <color indexed="30"/>
      <name val="Calibri"/>
      <family val="2"/>
    </font>
    <font>
      <b/>
      <sz val="10"/>
      <color indexed="23"/>
      <name val="Calibri"/>
      <family val="2"/>
    </font>
    <font>
      <b/>
      <sz val="9"/>
      <color indexed="23"/>
      <name val="Calibri"/>
      <family val="2"/>
    </font>
    <font>
      <i/>
      <sz val="10"/>
      <color indexed="10"/>
      <name val="Calibri"/>
      <family val="2"/>
    </font>
    <font>
      <sz val="8"/>
      <color indexed="18"/>
      <name val="Calibri"/>
      <family val="2"/>
    </font>
    <font>
      <i/>
      <sz val="11"/>
      <color indexed="30"/>
      <name val="Calibri"/>
      <family val="2"/>
    </font>
    <font>
      <b/>
      <i/>
      <sz val="11"/>
      <color indexed="10"/>
      <name val="Calibri"/>
      <family val="2"/>
    </font>
    <font>
      <i/>
      <sz val="11"/>
      <color indexed="13"/>
      <name val="Calibri"/>
      <family val="2"/>
    </font>
    <font>
      <sz val="11"/>
      <name val="Calibri"/>
      <family val="2"/>
    </font>
    <font>
      <b/>
      <sz val="14"/>
      <color indexed="10"/>
      <name val="Calibri"/>
      <family val="2"/>
    </font>
    <font>
      <b/>
      <sz val="11"/>
      <color indexed="10"/>
      <name val="Calibri"/>
      <family val="2"/>
    </font>
    <font>
      <b/>
      <sz val="20"/>
      <color indexed="60"/>
      <name val="Calibri"/>
      <family val="2"/>
    </font>
    <font>
      <b/>
      <sz val="9"/>
      <color indexed="13"/>
      <name val="Calibri"/>
      <family val="2"/>
    </font>
    <font>
      <i/>
      <sz val="8"/>
      <color indexed="36"/>
      <name val="Calibri"/>
      <family val="2"/>
    </font>
    <font>
      <b/>
      <sz val="9"/>
      <color indexed="36"/>
      <name val="Calibri"/>
      <family val="2"/>
    </font>
    <font>
      <b/>
      <i/>
      <sz val="12"/>
      <color indexed="13"/>
      <name val="Calibri"/>
      <family val="2"/>
    </font>
    <font>
      <b/>
      <i/>
      <sz val="12"/>
      <color indexed="36"/>
      <name val="Calibri"/>
      <family val="2"/>
    </font>
    <font>
      <b/>
      <sz val="10"/>
      <name val="Calibri"/>
      <family val="2"/>
    </font>
    <font>
      <b/>
      <sz val="10"/>
      <color indexed="18"/>
      <name val="Calibri"/>
      <family val="2"/>
    </font>
    <font>
      <sz val="9"/>
      <color indexed="13"/>
      <name val="Calibri"/>
      <family val="2"/>
    </font>
    <font>
      <b/>
      <i/>
      <sz val="9"/>
      <color indexed="13"/>
      <name val="Calibri"/>
      <family val="2"/>
    </font>
    <font>
      <i/>
      <sz val="8"/>
      <color indexed="8"/>
      <name val="Calibri"/>
      <family val="2"/>
    </font>
    <font>
      <i/>
      <sz val="8"/>
      <color indexed="23"/>
      <name val="Calibri"/>
      <family val="2"/>
    </font>
    <font>
      <i/>
      <sz val="9"/>
      <name val="Calibri"/>
      <family val="2"/>
    </font>
    <font>
      <sz val="12"/>
      <color indexed="8"/>
      <name val="Calibri"/>
      <family val="2"/>
    </font>
    <font>
      <b/>
      <sz val="10"/>
      <color indexed="36"/>
      <name val="Calibri"/>
      <family val="2"/>
    </font>
    <font>
      <b/>
      <sz val="12"/>
      <color indexed="13"/>
      <name val="Calibri"/>
      <family val="2"/>
    </font>
    <font>
      <b/>
      <sz val="12"/>
      <name val="Calibri"/>
      <family val="2"/>
    </font>
    <font>
      <sz val="10"/>
      <color indexed="51"/>
      <name val="Calibri"/>
      <family val="2"/>
    </font>
    <font>
      <b/>
      <i/>
      <sz val="12"/>
      <color indexed="51"/>
      <name val="Calibri"/>
      <family val="2"/>
    </font>
    <font>
      <b/>
      <i/>
      <sz val="14"/>
      <color indexed="8"/>
      <name val="Calibri"/>
      <family val="2"/>
    </font>
    <font>
      <b/>
      <sz val="18"/>
      <color indexed="10"/>
      <name val="Calibri"/>
      <family val="2"/>
    </font>
    <font>
      <b/>
      <sz val="18"/>
      <color indexed="60"/>
      <name val="Calibri"/>
      <family val="2"/>
    </font>
    <font>
      <b/>
      <sz val="16"/>
      <color indexed="5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0"/>
      <color theme="1"/>
      <name val="Calibri"/>
      <family val="2"/>
    </font>
    <font>
      <b/>
      <sz val="16"/>
      <color theme="1"/>
      <name val="Calibri"/>
      <family val="2"/>
    </font>
    <font>
      <b/>
      <sz val="20"/>
      <color rgb="FFFF0000"/>
      <name val="Calibri"/>
      <family val="2"/>
    </font>
    <font>
      <b/>
      <sz val="9"/>
      <color theme="1"/>
      <name val="Calibri"/>
      <family val="2"/>
    </font>
    <font>
      <sz val="9"/>
      <color theme="1"/>
      <name val="Calibri"/>
      <family val="2"/>
    </font>
    <font>
      <b/>
      <i/>
      <sz val="9"/>
      <color theme="1"/>
      <name val="Calibri"/>
      <family val="2"/>
    </font>
    <font>
      <b/>
      <i/>
      <sz val="9"/>
      <color rgb="FFFF0000"/>
      <name val="Calibri"/>
      <family val="2"/>
    </font>
    <font>
      <sz val="9"/>
      <color rgb="FFFF0000"/>
      <name val="Calibri"/>
      <family val="2"/>
    </font>
    <font>
      <b/>
      <sz val="9"/>
      <color rgb="FFFF0000"/>
      <name val="Calibri"/>
      <family val="2"/>
    </font>
    <font>
      <b/>
      <i/>
      <sz val="10"/>
      <color theme="1"/>
      <name val="Calibri"/>
      <family val="2"/>
    </font>
    <font>
      <sz val="10"/>
      <color theme="1"/>
      <name val="Calibri"/>
      <family val="2"/>
    </font>
    <font>
      <sz val="10"/>
      <color rgb="FFFFFF00"/>
      <name val="Calibri"/>
      <family val="2"/>
    </font>
    <font>
      <b/>
      <sz val="10"/>
      <color rgb="FF002060"/>
      <name val="Calibri"/>
      <family val="2"/>
    </font>
    <font>
      <i/>
      <sz val="10"/>
      <color theme="1"/>
      <name val="Calibri"/>
      <family val="2"/>
    </font>
    <font>
      <sz val="8"/>
      <color theme="1"/>
      <name val="Calibri"/>
      <family val="2"/>
    </font>
    <font>
      <b/>
      <sz val="10"/>
      <color rgb="FFFFFF00"/>
      <name val="Calibri"/>
      <family val="2"/>
    </font>
    <font>
      <b/>
      <i/>
      <sz val="8"/>
      <color theme="0" tint="-0.4999699890613556"/>
      <name val="Calibri"/>
      <family val="2"/>
    </font>
    <font>
      <b/>
      <sz val="10"/>
      <color rgb="FFFF0000"/>
      <name val="Calibri"/>
      <family val="2"/>
    </font>
    <font>
      <b/>
      <sz val="8"/>
      <color theme="0" tint="-0.4999699890613556"/>
      <name val="Calibri"/>
      <family val="2"/>
    </font>
    <font>
      <b/>
      <sz val="8"/>
      <color theme="1"/>
      <name val="Calibri"/>
      <family val="2"/>
    </font>
    <font>
      <i/>
      <sz val="11"/>
      <color theme="1"/>
      <name val="Calibri"/>
      <family val="2"/>
    </font>
    <font>
      <sz val="9"/>
      <color theme="0" tint="-0.24997000396251678"/>
      <name val="Calibri"/>
      <family val="2"/>
    </font>
    <font>
      <sz val="10"/>
      <color theme="3" tint="-0.24997000396251678"/>
      <name val="Calibri"/>
      <family val="2"/>
    </font>
    <font>
      <sz val="11"/>
      <color rgb="FF0070C0"/>
      <name val="Calibri"/>
      <family val="2"/>
    </font>
    <font>
      <b/>
      <sz val="10"/>
      <color theme="1" tint="0.49998000264167786"/>
      <name val="Calibri"/>
      <family val="2"/>
    </font>
    <font>
      <b/>
      <sz val="9"/>
      <color theme="1" tint="0.49998000264167786"/>
      <name val="Calibri"/>
      <family val="2"/>
    </font>
    <font>
      <i/>
      <sz val="10"/>
      <color rgb="FFFF0000"/>
      <name val="Calibri"/>
      <family val="2"/>
    </font>
    <font>
      <sz val="8"/>
      <color theme="3" tint="-0.24997000396251678"/>
      <name val="Calibri"/>
      <family val="2"/>
    </font>
    <font>
      <i/>
      <sz val="11"/>
      <color rgb="FF0070C0"/>
      <name val="Calibri"/>
      <family val="2"/>
    </font>
    <font>
      <b/>
      <sz val="12"/>
      <color theme="1"/>
      <name val="Calibri"/>
      <family val="2"/>
    </font>
    <font>
      <b/>
      <i/>
      <sz val="11"/>
      <color rgb="FFFF0000"/>
      <name val="Calibri"/>
      <family val="2"/>
    </font>
    <font>
      <i/>
      <sz val="11"/>
      <color rgb="FFFFFF00"/>
      <name val="Calibri"/>
      <family val="2"/>
    </font>
    <font>
      <b/>
      <sz val="14"/>
      <color rgb="FFFF0000"/>
      <name val="Calibri"/>
      <family val="2"/>
    </font>
    <font>
      <b/>
      <sz val="11"/>
      <color rgb="FFFF0000"/>
      <name val="Calibri"/>
      <family val="2"/>
    </font>
    <font>
      <b/>
      <sz val="20"/>
      <color theme="5" tint="-0.24997000396251678"/>
      <name val="Calibri"/>
      <family val="2"/>
    </font>
    <font>
      <b/>
      <sz val="9"/>
      <color rgb="FFFFFF00"/>
      <name val="Calibri"/>
      <family val="2"/>
    </font>
    <font>
      <i/>
      <sz val="8"/>
      <color rgb="FF7030A0"/>
      <name val="Calibri"/>
      <family val="2"/>
    </font>
    <font>
      <b/>
      <sz val="9"/>
      <color rgb="FF7030A0"/>
      <name val="Calibri"/>
      <family val="2"/>
    </font>
    <font>
      <b/>
      <i/>
      <sz val="12"/>
      <color rgb="FFFFFF00"/>
      <name val="Calibri"/>
      <family val="2"/>
    </font>
    <font>
      <b/>
      <i/>
      <sz val="12"/>
      <color rgb="FF7030A0"/>
      <name val="Calibri"/>
      <family val="2"/>
    </font>
    <font>
      <b/>
      <sz val="10"/>
      <color theme="3" tint="-0.24997000396251678"/>
      <name val="Calibri"/>
      <family val="2"/>
    </font>
    <font>
      <sz val="9"/>
      <color rgb="FFFFFF00"/>
      <name val="Calibri"/>
      <family val="2"/>
    </font>
    <font>
      <b/>
      <i/>
      <sz val="9"/>
      <color rgb="FFFFFF00"/>
      <name val="Calibri"/>
      <family val="2"/>
    </font>
    <font>
      <i/>
      <sz val="8"/>
      <color theme="1"/>
      <name val="Calibri"/>
      <family val="2"/>
    </font>
    <font>
      <i/>
      <sz val="8"/>
      <color theme="0" tint="-0.4999699890613556"/>
      <name val="Calibri"/>
      <family val="2"/>
    </font>
    <font>
      <sz val="12"/>
      <color theme="1"/>
      <name val="Calibri"/>
      <family val="2"/>
    </font>
    <font>
      <b/>
      <sz val="10"/>
      <color rgb="FF7030A0"/>
      <name val="Calibri"/>
      <family val="2"/>
    </font>
    <font>
      <b/>
      <sz val="12"/>
      <color rgb="FFFFFF00"/>
      <name val="Calibri"/>
      <family val="2"/>
    </font>
    <font>
      <b/>
      <i/>
      <sz val="14"/>
      <color rgb="FFFFC000"/>
      <name val="Calibri"/>
      <family val="2"/>
    </font>
    <font>
      <b/>
      <i/>
      <sz val="12"/>
      <color rgb="FFFFC000"/>
      <name val="Calibri"/>
      <family val="2"/>
    </font>
    <font>
      <sz val="10"/>
      <color rgb="FFFFC000"/>
      <name val="Calibri"/>
      <family val="2"/>
    </font>
    <font>
      <b/>
      <i/>
      <sz val="14"/>
      <color theme="1"/>
      <name val="Calibri"/>
      <family val="2"/>
    </font>
    <font>
      <b/>
      <sz val="16"/>
      <color rgb="FFFFC000"/>
      <name val="Calibri"/>
      <family val="2"/>
    </font>
    <font>
      <b/>
      <sz val="18"/>
      <color rgb="FFFF0000"/>
      <name val="Calibri"/>
      <family val="2"/>
    </font>
    <font>
      <b/>
      <sz val="18"/>
      <color theme="5" tint="-0.24997000396251678"/>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6" tint="-0.24997000396251678"/>
        <bgColor indexed="64"/>
      </patternFill>
    </fill>
    <fill>
      <patternFill patternType="solid">
        <fgColor rgb="FF00B0F0"/>
        <bgColor indexed="64"/>
      </patternFill>
    </fill>
    <fill>
      <patternFill patternType="solid">
        <fgColor rgb="FF00B050"/>
        <bgColor indexed="64"/>
      </patternFill>
    </fill>
    <fill>
      <patternFill patternType="solid">
        <fgColor theme="8" tint="-0.24997000396251678"/>
        <bgColor indexed="64"/>
      </patternFill>
    </fill>
    <fill>
      <patternFill patternType="solid">
        <fgColor theme="3" tint="0.5999900102615356"/>
        <bgColor indexed="64"/>
      </patternFill>
    </fill>
    <fill>
      <patternFill patternType="solid">
        <fgColor theme="0" tint="-0.4999699890613556"/>
        <bgColor indexed="64"/>
      </patternFill>
    </fill>
    <fill>
      <patternFill patternType="solid">
        <fgColor theme="3" tint="0.39998000860214233"/>
        <bgColor indexed="64"/>
      </patternFill>
    </fill>
    <fill>
      <patternFill patternType="solid">
        <fgColor theme="0" tint="-0.34997999668121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double"/>
    </border>
    <border>
      <left style="medium"/>
      <right>
        <color indexed="63"/>
      </right>
      <top style="thin"/>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337">
    <xf numFmtId="0" fontId="0" fillId="0" borderId="0" xfId="0" applyFont="1" applyAlignment="1">
      <alignment/>
    </xf>
    <xf numFmtId="0" fontId="104" fillId="0" borderId="0" xfId="0" applyFont="1" applyAlignment="1" applyProtection="1">
      <alignment/>
      <protection hidden="1"/>
    </xf>
    <xf numFmtId="0" fontId="104" fillId="0" borderId="0" xfId="0" applyFont="1" applyAlignment="1" applyProtection="1">
      <alignment horizontal="center"/>
      <protection hidden="1"/>
    </xf>
    <xf numFmtId="0" fontId="104" fillId="0" borderId="0" xfId="0" applyFont="1" applyAlignment="1" applyProtection="1">
      <alignment vertical="center"/>
      <protection hidden="1"/>
    </xf>
    <xf numFmtId="0" fontId="104" fillId="0" borderId="0" xfId="0" applyFont="1" applyAlignment="1" applyProtection="1">
      <alignment horizontal="center" vertical="center"/>
      <protection hidden="1"/>
    </xf>
    <xf numFmtId="167" fontId="105" fillId="0" borderId="0" xfId="0" applyNumberFormat="1" applyFont="1" applyBorder="1" applyAlignment="1" applyProtection="1">
      <alignment horizontal="center"/>
      <protection hidden="1"/>
    </xf>
    <xf numFmtId="0" fontId="106" fillId="0" borderId="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107" fillId="33" borderId="10" xfId="0" applyFont="1" applyFill="1" applyBorder="1" applyAlignment="1" applyProtection="1">
      <alignment horizontal="center" vertical="top"/>
      <protection hidden="1" locked="0"/>
    </xf>
    <xf numFmtId="0" fontId="108" fillId="34" borderId="0" xfId="0" applyFont="1" applyFill="1" applyAlignment="1" applyProtection="1">
      <alignment/>
      <protection hidden="1"/>
    </xf>
    <xf numFmtId="0" fontId="109" fillId="34" borderId="0" xfId="0" applyFont="1" applyFill="1" applyAlignment="1" applyProtection="1">
      <alignment horizontal="center"/>
      <protection hidden="1"/>
    </xf>
    <xf numFmtId="0" fontId="109" fillId="0" borderId="0" xfId="0" applyFont="1" applyAlignment="1" applyProtection="1">
      <alignment/>
      <protection hidden="1"/>
    </xf>
    <xf numFmtId="0" fontId="108" fillId="0" borderId="0" xfId="0" applyFont="1" applyAlignment="1" applyProtection="1">
      <alignment horizontal="left" vertical="center"/>
      <protection hidden="1"/>
    </xf>
    <xf numFmtId="0" fontId="108" fillId="0" borderId="11" xfId="0" applyFont="1" applyBorder="1" applyAlignment="1" applyProtection="1">
      <alignment horizontal="right" vertical="center"/>
      <protection hidden="1"/>
    </xf>
    <xf numFmtId="164" fontId="33" fillId="35" borderId="12" xfId="0" applyNumberFormat="1" applyFont="1" applyFill="1" applyBorder="1" applyAlignment="1" applyProtection="1">
      <alignment horizontal="center" vertical="center"/>
      <protection hidden="1"/>
    </xf>
    <xf numFmtId="0" fontId="109" fillId="0" borderId="0" xfId="0" applyFont="1" applyAlignment="1" applyProtection="1">
      <alignment vertical="center"/>
      <protection hidden="1"/>
    </xf>
    <xf numFmtId="0" fontId="108" fillId="0" borderId="13" xfId="0" applyFont="1" applyBorder="1" applyAlignment="1" applyProtection="1">
      <alignment horizontal="center" vertical="center"/>
      <protection hidden="1"/>
    </xf>
    <xf numFmtId="10" fontId="110" fillId="35" borderId="14" xfId="0" applyNumberFormat="1" applyFont="1" applyFill="1" applyBorder="1" applyAlignment="1" applyProtection="1">
      <alignment horizontal="center" vertical="center"/>
      <protection hidden="1"/>
    </xf>
    <xf numFmtId="0" fontId="109" fillId="0" borderId="0" xfId="0" applyFont="1" applyAlignment="1" applyProtection="1">
      <alignment horizontal="center" vertical="center"/>
      <protection hidden="1"/>
    </xf>
    <xf numFmtId="167" fontId="109" fillId="0" borderId="0" xfId="0" applyNumberFormat="1" applyFont="1" applyBorder="1" applyAlignment="1" applyProtection="1">
      <alignment horizontal="center"/>
      <protection hidden="1"/>
    </xf>
    <xf numFmtId="4" fontId="110" fillId="0" borderId="14" xfId="0" applyNumberFormat="1" applyFont="1" applyFill="1" applyBorder="1" applyAlignment="1" applyProtection="1">
      <alignment horizontal="center" vertical="center"/>
      <protection hidden="1"/>
    </xf>
    <xf numFmtId="0" fontId="109" fillId="0" borderId="13" xfId="0" applyFont="1" applyBorder="1" applyAlignment="1" applyProtection="1">
      <alignment horizontal="right"/>
      <protection hidden="1"/>
    </xf>
    <xf numFmtId="0" fontId="109" fillId="0" borderId="14" xfId="0" applyFont="1" applyBorder="1" applyAlignment="1" applyProtection="1">
      <alignment horizontal="center"/>
      <protection hidden="1"/>
    </xf>
    <xf numFmtId="0" fontId="108" fillId="0" borderId="13" xfId="0" applyFont="1" applyBorder="1" applyAlignment="1" applyProtection="1">
      <alignment horizontal="right"/>
      <protection hidden="1"/>
    </xf>
    <xf numFmtId="0" fontId="109" fillId="0" borderId="0" xfId="0" applyFont="1" applyBorder="1" applyAlignment="1" applyProtection="1">
      <alignment horizontal="center"/>
      <protection hidden="1"/>
    </xf>
    <xf numFmtId="167" fontId="108" fillId="0" borderId="0" xfId="0" applyNumberFormat="1" applyFont="1" applyBorder="1" applyAlignment="1" applyProtection="1">
      <alignment horizontal="center"/>
      <protection hidden="1"/>
    </xf>
    <xf numFmtId="4" fontId="111" fillId="35" borderId="14" xfId="0" applyNumberFormat="1" applyFont="1" applyFill="1" applyBorder="1" applyAlignment="1" applyProtection="1">
      <alignment horizontal="center" vertical="center"/>
      <protection hidden="1"/>
    </xf>
    <xf numFmtId="10" fontId="112" fillId="0" borderId="0" xfId="0" applyNumberFormat="1" applyFont="1" applyBorder="1" applyAlignment="1" applyProtection="1">
      <alignment horizontal="center"/>
      <protection hidden="1"/>
    </xf>
    <xf numFmtId="168" fontId="109" fillId="0" borderId="0" xfId="0" applyNumberFormat="1" applyFont="1" applyBorder="1" applyAlignment="1" applyProtection="1">
      <alignment horizontal="center"/>
      <protection hidden="1"/>
    </xf>
    <xf numFmtId="0" fontId="109" fillId="0" borderId="0" xfId="0" applyFont="1" applyBorder="1" applyAlignment="1" applyProtection="1">
      <alignment horizontal="left"/>
      <protection hidden="1"/>
    </xf>
    <xf numFmtId="0" fontId="109" fillId="0" borderId="15" xfId="0" applyFont="1" applyBorder="1" applyAlignment="1" applyProtection="1">
      <alignment horizontal="right"/>
      <protection hidden="1"/>
    </xf>
    <xf numFmtId="167" fontId="109" fillId="0" borderId="16" xfId="0" applyNumberFormat="1" applyFont="1" applyBorder="1" applyAlignment="1" applyProtection="1">
      <alignment horizontal="center"/>
      <protection hidden="1"/>
    </xf>
    <xf numFmtId="0" fontId="109" fillId="0" borderId="17" xfId="0" applyFont="1" applyBorder="1" applyAlignment="1" applyProtection="1">
      <alignment horizontal="center"/>
      <protection hidden="1"/>
    </xf>
    <xf numFmtId="167" fontId="109" fillId="0" borderId="17" xfId="0" applyNumberFormat="1" applyFont="1" applyBorder="1" applyAlignment="1" applyProtection="1">
      <alignment horizontal="center"/>
      <protection hidden="1"/>
    </xf>
    <xf numFmtId="0" fontId="109" fillId="0" borderId="18" xfId="0" applyFont="1" applyBorder="1" applyAlignment="1" applyProtection="1">
      <alignment horizontal="center"/>
      <protection hidden="1"/>
    </xf>
    <xf numFmtId="0" fontId="109" fillId="0" borderId="0" xfId="0" applyFont="1" applyAlignment="1" applyProtection="1">
      <alignment horizontal="center"/>
      <protection hidden="1"/>
    </xf>
    <xf numFmtId="9" fontId="113" fillId="0" borderId="10" xfId="0" applyNumberFormat="1" applyFont="1" applyFill="1" applyBorder="1" applyAlignment="1" applyProtection="1">
      <alignment horizontal="center" vertical="center"/>
      <protection hidden="1"/>
    </xf>
    <xf numFmtId="168" fontId="109" fillId="0" borderId="0" xfId="0" applyNumberFormat="1" applyFont="1" applyFill="1" applyBorder="1" applyAlignment="1" applyProtection="1">
      <alignment horizontal="center"/>
      <protection hidden="1"/>
    </xf>
    <xf numFmtId="0" fontId="114" fillId="0" borderId="13" xfId="0" applyFont="1" applyBorder="1" applyAlignment="1" applyProtection="1">
      <alignment horizontal="center" vertical="center"/>
      <protection hidden="1"/>
    </xf>
    <xf numFmtId="6" fontId="115" fillId="0" borderId="0" xfId="0" applyNumberFormat="1" applyFont="1" applyBorder="1" applyAlignment="1" applyProtection="1">
      <alignment horizontal="center" vertical="center"/>
      <protection hidden="1"/>
    </xf>
    <xf numFmtId="168" fontId="115" fillId="0" borderId="0" xfId="0" applyNumberFormat="1" applyFont="1" applyBorder="1" applyAlignment="1" applyProtection="1">
      <alignment horizontal="center" vertical="center"/>
      <protection hidden="1"/>
    </xf>
    <xf numFmtId="167" fontId="115" fillId="0" borderId="0" xfId="0" applyNumberFormat="1" applyFont="1" applyBorder="1" applyAlignment="1" applyProtection="1">
      <alignment horizontal="center" vertical="center"/>
      <protection hidden="1"/>
    </xf>
    <xf numFmtId="167" fontId="116" fillId="36" borderId="14" xfId="0" applyNumberFormat="1" applyFont="1" applyFill="1" applyBorder="1" applyAlignment="1" applyProtection="1">
      <alignment horizontal="center" vertical="center"/>
      <protection hidden="1"/>
    </xf>
    <xf numFmtId="0" fontId="114" fillId="0" borderId="13" xfId="0" applyFont="1" applyBorder="1" applyAlignment="1" applyProtection="1">
      <alignment horizontal="center"/>
      <protection hidden="1"/>
    </xf>
    <xf numFmtId="0" fontId="105" fillId="0" borderId="13" xfId="0" applyFont="1" applyBorder="1" applyAlignment="1" applyProtection="1">
      <alignment horizontal="center"/>
      <protection hidden="1"/>
    </xf>
    <xf numFmtId="0" fontId="115" fillId="0" borderId="0" xfId="0" applyFont="1" applyBorder="1" applyAlignment="1" applyProtection="1">
      <alignment/>
      <protection hidden="1"/>
    </xf>
    <xf numFmtId="0" fontId="115" fillId="0" borderId="13" xfId="0" applyFont="1" applyBorder="1" applyAlignment="1" applyProtection="1">
      <alignment horizontal="center"/>
      <protection hidden="1"/>
    </xf>
    <xf numFmtId="0" fontId="114" fillId="0" borderId="0" xfId="0" applyFont="1" applyBorder="1" applyAlignment="1" applyProtection="1">
      <alignment horizontal="right" vertical="center"/>
      <protection hidden="1"/>
    </xf>
    <xf numFmtId="167" fontId="105" fillId="0" borderId="0" xfId="0" applyNumberFormat="1" applyFont="1" applyBorder="1" applyAlignment="1" applyProtection="1">
      <alignment horizontal="center" vertical="center"/>
      <protection hidden="1"/>
    </xf>
    <xf numFmtId="0" fontId="115" fillId="0" borderId="14" xfId="0" applyFont="1" applyBorder="1" applyAlignment="1" applyProtection="1">
      <alignment/>
      <protection hidden="1"/>
    </xf>
    <xf numFmtId="0" fontId="115" fillId="37" borderId="0" xfId="0" applyFont="1" applyFill="1" applyBorder="1" applyAlignment="1" applyProtection="1">
      <alignment/>
      <protection hidden="1"/>
    </xf>
    <xf numFmtId="0" fontId="117" fillId="37" borderId="0" xfId="0" applyFont="1" applyFill="1" applyBorder="1" applyAlignment="1" applyProtection="1">
      <alignment horizontal="right" vertical="center"/>
      <protection hidden="1"/>
    </xf>
    <xf numFmtId="0" fontId="117" fillId="37" borderId="0" xfId="0" applyFont="1" applyFill="1" applyBorder="1" applyAlignment="1" applyProtection="1">
      <alignment horizontal="center" vertical="center"/>
      <protection hidden="1"/>
    </xf>
    <xf numFmtId="0" fontId="118" fillId="0" borderId="0" xfId="0" applyFont="1" applyBorder="1" applyAlignment="1" applyProtection="1">
      <alignment/>
      <protection hidden="1"/>
    </xf>
    <xf numFmtId="167" fontId="118" fillId="0" borderId="0" xfId="0" applyNumberFormat="1" applyFont="1" applyBorder="1" applyAlignment="1" applyProtection="1">
      <alignment horizontal="center"/>
      <protection hidden="1"/>
    </xf>
    <xf numFmtId="0" fontId="115" fillId="0" borderId="15" xfId="0" applyFont="1" applyBorder="1" applyAlignment="1" applyProtection="1">
      <alignment horizontal="center"/>
      <protection hidden="1"/>
    </xf>
    <xf numFmtId="0" fontId="115" fillId="0" borderId="17" xfId="0" applyFont="1" applyBorder="1" applyAlignment="1" applyProtection="1">
      <alignment/>
      <protection hidden="1"/>
    </xf>
    <xf numFmtId="0" fontId="115" fillId="0" borderId="17" xfId="0" applyFont="1" applyBorder="1" applyAlignment="1" applyProtection="1">
      <alignment horizontal="center"/>
      <protection hidden="1"/>
    </xf>
    <xf numFmtId="0" fontId="115" fillId="0" borderId="18" xfId="0" applyFont="1" applyBorder="1" applyAlignment="1" applyProtection="1">
      <alignment/>
      <protection hidden="1"/>
    </xf>
    <xf numFmtId="0" fontId="119" fillId="0" borderId="0" xfId="0" applyFont="1" applyBorder="1" applyAlignment="1" applyProtection="1">
      <alignment/>
      <protection hidden="1"/>
    </xf>
    <xf numFmtId="0" fontId="115" fillId="37" borderId="13" xfId="0" applyFont="1" applyFill="1" applyBorder="1" applyAlignment="1" applyProtection="1">
      <alignment horizontal="center"/>
      <protection hidden="1"/>
    </xf>
    <xf numFmtId="167" fontId="109" fillId="0" borderId="0" xfId="0" applyNumberFormat="1" applyFont="1" applyBorder="1" applyAlignment="1" applyProtection="1">
      <alignment horizontal="center" vertical="center"/>
      <protection hidden="1"/>
    </xf>
    <xf numFmtId="9" fontId="120" fillId="33" borderId="10" xfId="0" applyNumberFormat="1" applyFont="1" applyFill="1" applyBorder="1" applyAlignment="1" applyProtection="1">
      <alignment horizontal="center" vertical="center"/>
      <protection hidden="1" locked="0"/>
    </xf>
    <xf numFmtId="168" fontId="121" fillId="0" borderId="0" xfId="0" applyNumberFormat="1" applyFont="1" applyBorder="1" applyAlignment="1" applyProtection="1">
      <alignment horizontal="center" vertical="center"/>
      <protection hidden="1"/>
    </xf>
    <xf numFmtId="167" fontId="122" fillId="0" borderId="0" xfId="0" applyNumberFormat="1" applyFont="1" applyBorder="1" applyAlignment="1" applyProtection="1">
      <alignment horizontal="center" vertical="center"/>
      <protection hidden="1"/>
    </xf>
    <xf numFmtId="167" fontId="123" fillId="0" borderId="19" xfId="0" applyNumberFormat="1" applyFont="1" applyBorder="1" applyAlignment="1" applyProtection="1">
      <alignment horizontal="right"/>
      <protection hidden="1"/>
    </xf>
    <xf numFmtId="10" fontId="121" fillId="0" borderId="20" xfId="0" applyNumberFormat="1" applyFont="1" applyBorder="1" applyAlignment="1" applyProtection="1">
      <alignment horizontal="left"/>
      <protection hidden="1"/>
    </xf>
    <xf numFmtId="10" fontId="119" fillId="0" borderId="14" xfId="0" applyNumberFormat="1" applyFont="1" applyBorder="1" applyAlignment="1" applyProtection="1">
      <alignment horizontal="left"/>
      <protection hidden="1"/>
    </xf>
    <xf numFmtId="0" fontId="104" fillId="0" borderId="21" xfId="0" applyFont="1" applyBorder="1" applyAlignment="1" applyProtection="1">
      <alignment horizontal="center"/>
      <protection hidden="1"/>
    </xf>
    <xf numFmtId="0" fontId="104" fillId="0" borderId="20" xfId="0" applyFont="1" applyBorder="1" applyAlignment="1" applyProtection="1">
      <alignment/>
      <protection hidden="1"/>
    </xf>
    <xf numFmtId="0" fontId="104" fillId="0" borderId="22" xfId="0" applyFont="1" applyBorder="1" applyAlignment="1" applyProtection="1">
      <alignment horizontal="center"/>
      <protection hidden="1"/>
    </xf>
    <xf numFmtId="0" fontId="123" fillId="0" borderId="23" xfId="0" applyFont="1" applyBorder="1" applyAlignment="1" applyProtection="1">
      <alignment horizontal="left" vertical="center"/>
      <protection hidden="1"/>
    </xf>
    <xf numFmtId="0" fontId="121" fillId="0" borderId="24" xfId="0" applyFont="1" applyBorder="1" applyAlignment="1" applyProtection="1">
      <alignment horizontal="left"/>
      <protection hidden="1"/>
    </xf>
    <xf numFmtId="0" fontId="104" fillId="0" borderId="24" xfId="0" applyFont="1" applyBorder="1" applyAlignment="1" applyProtection="1">
      <alignment horizontal="left"/>
      <protection hidden="1"/>
    </xf>
    <xf numFmtId="8" fontId="109" fillId="0" borderId="0" xfId="0" applyNumberFormat="1" applyFont="1" applyFill="1" applyBorder="1" applyAlignment="1" applyProtection="1">
      <alignment horizontal="center" vertical="center" wrapText="1"/>
      <protection hidden="1"/>
    </xf>
    <xf numFmtId="8" fontId="109" fillId="0" borderId="0" xfId="0" applyNumberFormat="1" applyFont="1" applyFill="1" applyBorder="1" applyAlignment="1" applyProtection="1">
      <alignment horizontal="center" wrapText="1"/>
      <protection hidden="1"/>
    </xf>
    <xf numFmtId="0" fontId="104" fillId="0" borderId="0" xfId="0" applyFont="1" applyFill="1" applyBorder="1" applyAlignment="1" applyProtection="1">
      <alignment/>
      <protection hidden="1"/>
    </xf>
    <xf numFmtId="0" fontId="104" fillId="0" borderId="0" xfId="0" applyFont="1" applyFill="1" applyBorder="1" applyAlignment="1" applyProtection="1">
      <alignment horizontal="center"/>
      <protection hidden="1"/>
    </xf>
    <xf numFmtId="0" fontId="115" fillId="0" borderId="0" xfId="0" applyFont="1" applyFill="1" applyBorder="1" applyAlignment="1" applyProtection="1">
      <alignment/>
      <protection hidden="1"/>
    </xf>
    <xf numFmtId="167" fontId="116" fillId="0" borderId="0" xfId="0" applyNumberFormat="1" applyFont="1" applyFill="1" applyBorder="1" applyAlignment="1" applyProtection="1">
      <alignment horizontal="center" vertical="center"/>
      <protection hidden="1" locked="0"/>
    </xf>
    <xf numFmtId="167" fontId="115" fillId="0" borderId="0" xfId="0" applyNumberFormat="1" applyFont="1" applyFill="1" applyBorder="1" applyAlignment="1" applyProtection="1">
      <alignment horizontal="center" vertical="center"/>
      <protection hidden="1"/>
    </xf>
    <xf numFmtId="167" fontId="115" fillId="0" borderId="0" xfId="0" applyNumberFormat="1" applyFont="1" applyFill="1" applyBorder="1" applyAlignment="1" applyProtection="1">
      <alignment/>
      <protection hidden="1"/>
    </xf>
    <xf numFmtId="167" fontId="115" fillId="0" borderId="0" xfId="0" applyNumberFormat="1" applyFont="1" applyFill="1" applyBorder="1" applyAlignment="1" applyProtection="1">
      <alignment horizontal="center"/>
      <protection hidden="1"/>
    </xf>
    <xf numFmtId="0" fontId="124" fillId="0" borderId="0" xfId="0" applyFont="1" applyFill="1" applyBorder="1" applyAlignment="1" applyProtection="1">
      <alignment/>
      <protection hidden="1"/>
    </xf>
    <xf numFmtId="6" fontId="124" fillId="0" borderId="0" xfId="0" applyNumberFormat="1" applyFont="1" applyFill="1" applyBorder="1" applyAlignment="1" applyProtection="1">
      <alignment horizontal="right"/>
      <protection hidden="1"/>
    </xf>
    <xf numFmtId="0" fontId="124" fillId="0" borderId="0" xfId="0" applyFont="1" applyFill="1" applyBorder="1" applyAlignment="1" applyProtection="1">
      <alignment horizontal="left"/>
      <protection hidden="1"/>
    </xf>
    <xf numFmtId="0" fontId="124" fillId="0" borderId="0" xfId="0" applyFont="1" applyFill="1" applyBorder="1" applyAlignment="1" applyProtection="1">
      <alignment horizontal="center"/>
      <protection hidden="1"/>
    </xf>
    <xf numFmtId="0" fontId="119" fillId="0" borderId="0" xfId="0" applyFont="1" applyFill="1" applyBorder="1" applyAlignment="1" applyProtection="1">
      <alignment/>
      <protection hidden="1"/>
    </xf>
    <xf numFmtId="0" fontId="119" fillId="0" borderId="0" xfId="0" applyFont="1" applyFill="1" applyBorder="1" applyAlignment="1" applyProtection="1">
      <alignment horizontal="center"/>
      <protection hidden="1"/>
    </xf>
    <xf numFmtId="6" fontId="119" fillId="0" borderId="0" xfId="0" applyNumberFormat="1" applyFont="1" applyFill="1" applyBorder="1" applyAlignment="1" applyProtection="1">
      <alignment horizontal="center"/>
      <protection hidden="1"/>
    </xf>
    <xf numFmtId="6" fontId="115" fillId="0" borderId="0" xfId="0" applyNumberFormat="1" applyFont="1" applyFill="1" applyBorder="1" applyAlignment="1" applyProtection="1">
      <alignment horizontal="center"/>
      <protection hidden="1"/>
    </xf>
    <xf numFmtId="6" fontId="124" fillId="0" borderId="0" xfId="0" applyNumberFormat="1" applyFont="1" applyFill="1" applyBorder="1" applyAlignment="1" applyProtection="1">
      <alignment horizontal="center"/>
      <protection hidden="1"/>
    </xf>
    <xf numFmtId="8" fontId="0" fillId="0" borderId="0" xfId="0" applyNumberFormat="1" applyAlignment="1" applyProtection="1">
      <alignment horizontal="center" vertical="center"/>
      <protection hidden="1"/>
    </xf>
    <xf numFmtId="8" fontId="102" fillId="0" borderId="0" xfId="0" applyNumberFormat="1" applyFont="1" applyAlignment="1" applyProtection="1">
      <alignment horizontal="center" vertical="center"/>
      <protection hidden="1"/>
    </xf>
    <xf numFmtId="167" fontId="125" fillId="0" borderId="0" xfId="0" applyNumberFormat="1" applyFont="1" applyAlignment="1" applyProtection="1">
      <alignment horizontal="center" vertical="center"/>
      <protection hidden="1"/>
    </xf>
    <xf numFmtId="8" fontId="113" fillId="0" borderId="10" xfId="0" applyNumberFormat="1" applyFont="1" applyFill="1" applyBorder="1" applyAlignment="1" applyProtection="1">
      <alignment horizontal="center"/>
      <protection hidden="1"/>
    </xf>
    <xf numFmtId="8" fontId="126" fillId="0" borderId="0" xfId="0" applyNumberFormat="1" applyFont="1" applyBorder="1" applyAlignment="1" applyProtection="1">
      <alignment horizontal="center"/>
      <protection hidden="1"/>
    </xf>
    <xf numFmtId="8" fontId="109" fillId="0" borderId="0" xfId="0" applyNumberFormat="1" applyFont="1" applyBorder="1" applyAlignment="1" applyProtection="1">
      <alignment horizontal="center" vertical="center" wrapText="1"/>
      <protection hidden="1"/>
    </xf>
    <xf numFmtId="8" fontId="126" fillId="0" borderId="0" xfId="0" applyNumberFormat="1" applyFont="1" applyBorder="1" applyAlignment="1" applyProtection="1">
      <alignment horizontal="center" vertical="center"/>
      <protection hidden="1"/>
    </xf>
    <xf numFmtId="167" fontId="108" fillId="0" borderId="0" xfId="0" applyNumberFormat="1" applyFont="1" applyBorder="1" applyAlignment="1" applyProtection="1">
      <alignment horizontal="center" vertical="center"/>
      <protection hidden="1"/>
    </xf>
    <xf numFmtId="0" fontId="109" fillId="0" borderId="0" xfId="0" applyFont="1" applyBorder="1" applyAlignment="1" applyProtection="1">
      <alignment horizontal="center" vertical="center"/>
      <protection hidden="1"/>
    </xf>
    <xf numFmtId="10" fontId="112" fillId="0" borderId="0" xfId="0" applyNumberFormat="1" applyFont="1" applyBorder="1" applyAlignment="1" applyProtection="1">
      <alignment horizontal="center" vertical="center"/>
      <protection hidden="1"/>
    </xf>
    <xf numFmtId="0" fontId="109" fillId="0" borderId="0" xfId="0" applyFont="1" applyBorder="1" applyAlignment="1" applyProtection="1">
      <alignment horizontal="left" vertical="center"/>
      <protection hidden="1"/>
    </xf>
    <xf numFmtId="0" fontId="109" fillId="0" borderId="17" xfId="0" applyFont="1" applyBorder="1" applyAlignment="1" applyProtection="1">
      <alignment horizontal="center" vertical="center"/>
      <protection hidden="1"/>
    </xf>
    <xf numFmtId="167" fontId="109" fillId="0" borderId="17" xfId="0" applyNumberFormat="1" applyFont="1" applyBorder="1" applyAlignment="1" applyProtection="1">
      <alignment horizontal="center" vertical="center"/>
      <protection hidden="1"/>
    </xf>
    <xf numFmtId="167" fontId="113" fillId="0" borderId="0" xfId="0" applyNumberFormat="1" applyFont="1" applyBorder="1" applyAlignment="1" applyProtection="1">
      <alignment horizontal="center"/>
      <protection hidden="1"/>
    </xf>
    <xf numFmtId="0" fontId="115" fillId="0" borderId="0" xfId="0" applyFont="1" applyAlignment="1" applyProtection="1">
      <alignment/>
      <protection hidden="1"/>
    </xf>
    <xf numFmtId="0" fontId="112" fillId="0" borderId="0" xfId="0" applyFont="1" applyAlignment="1" applyProtection="1">
      <alignment/>
      <protection hidden="1"/>
    </xf>
    <xf numFmtId="8" fontId="122" fillId="0" borderId="10" xfId="0" applyNumberFormat="1" applyFont="1" applyFill="1" applyBorder="1" applyAlignment="1" applyProtection="1">
      <alignment horizontal="center"/>
      <protection hidden="1"/>
    </xf>
    <xf numFmtId="167" fontId="110" fillId="0" borderId="0" xfId="0" applyNumberFormat="1" applyFont="1" applyBorder="1" applyAlignment="1" applyProtection="1">
      <alignment horizontal="center" vertical="center"/>
      <protection hidden="1"/>
    </xf>
    <xf numFmtId="0" fontId="127" fillId="0" borderId="0" xfId="0" applyFont="1" applyAlignment="1" applyProtection="1">
      <alignment/>
      <protection hidden="1"/>
    </xf>
    <xf numFmtId="0" fontId="127" fillId="0" borderId="0" xfId="0" applyFont="1" applyFill="1" applyBorder="1" applyAlignment="1" applyProtection="1">
      <alignment/>
      <protection hidden="1"/>
    </xf>
    <xf numFmtId="6" fontId="127" fillId="0" borderId="0" xfId="0" applyNumberFormat="1" applyFont="1" applyFill="1" applyBorder="1" applyAlignment="1" applyProtection="1">
      <alignment horizontal="center"/>
      <protection hidden="1"/>
    </xf>
    <xf numFmtId="0" fontId="127" fillId="0" borderId="14" xfId="0" applyFont="1" applyBorder="1" applyAlignment="1" applyProtection="1">
      <alignment/>
      <protection hidden="1"/>
    </xf>
    <xf numFmtId="167" fontId="127" fillId="0" borderId="13" xfId="0" applyNumberFormat="1" applyFont="1" applyBorder="1" applyAlignment="1" applyProtection="1">
      <alignment horizontal="center" vertical="center"/>
      <protection hidden="1"/>
    </xf>
    <xf numFmtId="0" fontId="127" fillId="0" borderId="14" xfId="0" applyFont="1" applyBorder="1" applyAlignment="1" applyProtection="1">
      <alignment vertical="center"/>
      <protection hidden="1"/>
    </xf>
    <xf numFmtId="0" fontId="127" fillId="0" borderId="14" xfId="0" applyFont="1" applyBorder="1" applyAlignment="1" applyProtection="1">
      <alignment horizontal="left" vertical="center"/>
      <protection hidden="1"/>
    </xf>
    <xf numFmtId="167" fontId="127" fillId="0" borderId="25" xfId="0" applyNumberFormat="1" applyFont="1" applyBorder="1" applyAlignment="1" applyProtection="1">
      <alignment horizontal="center"/>
      <protection hidden="1"/>
    </xf>
    <xf numFmtId="167" fontId="127" fillId="0" borderId="13" xfId="0" applyNumberFormat="1" applyFont="1" applyBorder="1" applyAlignment="1" applyProtection="1">
      <alignment horizontal="center"/>
      <protection hidden="1"/>
    </xf>
    <xf numFmtId="0" fontId="127" fillId="0" borderId="12" xfId="0" applyFont="1" applyBorder="1" applyAlignment="1" applyProtection="1">
      <alignment/>
      <protection hidden="1"/>
    </xf>
    <xf numFmtId="8" fontId="109" fillId="0" borderId="0" xfId="0" applyNumberFormat="1" applyFont="1" applyBorder="1" applyAlignment="1" applyProtection="1">
      <alignment horizontal="center"/>
      <protection hidden="1"/>
    </xf>
    <xf numFmtId="8" fontId="122" fillId="0" borderId="10" xfId="0" applyNumberFormat="1" applyFont="1" applyFill="1" applyBorder="1" applyAlignment="1" applyProtection="1">
      <alignment horizontal="center"/>
      <protection hidden="1" locked="0"/>
    </xf>
    <xf numFmtId="167" fontId="111" fillId="0" borderId="10" xfId="0" applyNumberFormat="1" applyFont="1" applyFill="1" applyBorder="1" applyAlignment="1" applyProtection="1">
      <alignment horizontal="center" vertical="center"/>
      <protection hidden="1"/>
    </xf>
    <xf numFmtId="167" fontId="51" fillId="0" borderId="10" xfId="0" applyNumberFormat="1" applyFont="1" applyFill="1" applyBorder="1" applyAlignment="1" applyProtection="1">
      <alignment horizontal="center" vertical="center"/>
      <protection hidden="1"/>
    </xf>
    <xf numFmtId="168" fontId="52" fillId="0" borderId="10" xfId="0" applyNumberFormat="1" applyFont="1" applyFill="1" applyBorder="1" applyAlignment="1" applyProtection="1">
      <alignment horizontal="center"/>
      <protection hidden="1"/>
    </xf>
    <xf numFmtId="0" fontId="0" fillId="35" borderId="26" xfId="0" applyFill="1" applyBorder="1" applyAlignment="1" applyProtection="1">
      <alignment horizontal="right" vertical="center"/>
      <protection hidden="1"/>
    </xf>
    <xf numFmtId="0" fontId="125" fillId="38" borderId="26" xfId="0" applyFont="1" applyFill="1" applyBorder="1" applyAlignment="1" applyProtection="1">
      <alignment horizontal="center" vertical="center"/>
      <protection hidden="1"/>
    </xf>
    <xf numFmtId="8" fontId="128" fillId="35" borderId="13" xfId="0" applyNumberFormat="1" applyFont="1" applyFill="1" applyBorder="1" applyAlignment="1" applyProtection="1">
      <alignment horizontal="center" vertical="center"/>
      <protection hidden="1"/>
    </xf>
    <xf numFmtId="8" fontId="128" fillId="35" borderId="15" xfId="0" applyNumberFormat="1" applyFont="1" applyFill="1" applyBorder="1" applyAlignment="1" applyProtection="1">
      <alignment horizontal="center" vertical="top"/>
      <protection hidden="1"/>
    </xf>
    <xf numFmtId="0" fontId="0" fillId="15" borderId="15" xfId="0" applyFill="1" applyBorder="1" applyAlignment="1" applyProtection="1">
      <alignment horizontal="center" vertical="center"/>
      <protection hidden="1"/>
    </xf>
    <xf numFmtId="0" fontId="118" fillId="0" borderId="0" xfId="0" applyFont="1" applyFill="1" applyBorder="1" applyAlignment="1" applyProtection="1">
      <alignment vertical="center" wrapText="1"/>
      <protection hidden="1"/>
    </xf>
    <xf numFmtId="0" fontId="105" fillId="0" borderId="0" xfId="0" applyFont="1" applyFill="1" applyBorder="1" applyAlignment="1" applyProtection="1">
      <alignment horizontal="center"/>
      <protection hidden="1"/>
    </xf>
    <xf numFmtId="0" fontId="114" fillId="0" borderId="0" xfId="0" applyFont="1" applyFill="1" applyBorder="1" applyAlignment="1" applyProtection="1">
      <alignment horizontal="center" vertical="center"/>
      <protection hidden="1"/>
    </xf>
    <xf numFmtId="0" fontId="114" fillId="0" borderId="0" xfId="0" applyFont="1" applyBorder="1" applyAlignment="1" applyProtection="1">
      <alignment horizontal="right"/>
      <protection hidden="1"/>
    </xf>
    <xf numFmtId="0" fontId="129" fillId="0" borderId="10" xfId="0" applyFont="1" applyFill="1" applyBorder="1" applyAlignment="1" applyProtection="1">
      <alignment horizontal="center" vertical="center"/>
      <protection hidden="1"/>
    </xf>
    <xf numFmtId="0" fontId="130" fillId="0" borderId="10" xfId="0" applyFont="1" applyFill="1" applyBorder="1" applyAlignment="1" applyProtection="1">
      <alignment horizontal="center" vertical="center"/>
      <protection hidden="1"/>
    </xf>
    <xf numFmtId="0" fontId="131" fillId="0" borderId="14" xfId="0" applyFont="1" applyBorder="1" applyAlignment="1" applyProtection="1">
      <alignment horizontal="left"/>
      <protection hidden="1"/>
    </xf>
    <xf numFmtId="0" fontId="132" fillId="0" borderId="0" xfId="0" applyFont="1" applyAlignment="1" applyProtection="1">
      <alignment vertical="top" wrapText="1"/>
      <protection hidden="1"/>
    </xf>
    <xf numFmtId="0" fontId="106" fillId="34" borderId="15" xfId="0" applyFont="1" applyFill="1" applyBorder="1" applyAlignment="1" applyProtection="1">
      <alignment vertical="center" wrapText="1"/>
      <protection hidden="1"/>
    </xf>
    <xf numFmtId="0" fontId="106" fillId="34" borderId="17" xfId="0" applyFont="1" applyFill="1" applyBorder="1" applyAlignment="1" applyProtection="1">
      <alignment vertical="center" wrapText="1"/>
      <protection hidden="1"/>
    </xf>
    <xf numFmtId="0" fontId="105" fillId="39" borderId="10" xfId="0" applyFont="1" applyFill="1" applyBorder="1" applyAlignment="1" applyProtection="1">
      <alignment horizontal="center" vertical="center" wrapText="1"/>
      <protection hidden="1"/>
    </xf>
    <xf numFmtId="8" fontId="133" fillId="38" borderId="17" xfId="0" applyNumberFormat="1" applyFont="1" applyFill="1" applyBorder="1" applyAlignment="1" applyProtection="1">
      <alignment horizontal="right" vertical="top"/>
      <protection hidden="1"/>
    </xf>
    <xf numFmtId="0" fontId="134" fillId="39" borderId="17" xfId="0" applyFont="1" applyFill="1" applyBorder="1" applyAlignment="1" applyProtection="1">
      <alignment horizontal="center" vertical="center" wrapText="1"/>
      <protection hidden="1"/>
    </xf>
    <xf numFmtId="0" fontId="134" fillId="39" borderId="27" xfId="0" applyFont="1" applyFill="1" applyBorder="1" applyAlignment="1" applyProtection="1">
      <alignment horizontal="center" vertical="center"/>
      <protection hidden="1"/>
    </xf>
    <xf numFmtId="8" fontId="128" fillId="40" borderId="28" xfId="0" applyNumberFormat="1" applyFont="1" applyFill="1" applyBorder="1" applyAlignment="1" applyProtection="1">
      <alignment horizontal="center" vertical="top"/>
      <protection hidden="1"/>
    </xf>
    <xf numFmtId="0" fontId="105" fillId="39" borderId="28" xfId="0" applyFont="1" applyFill="1" applyBorder="1" applyAlignment="1" applyProtection="1">
      <alignment horizontal="center" vertical="center" wrapText="1"/>
      <protection hidden="1"/>
    </xf>
    <xf numFmtId="8" fontId="128" fillId="35" borderId="28" xfId="0" applyNumberFormat="1" applyFont="1" applyFill="1" applyBorder="1" applyAlignment="1" applyProtection="1">
      <alignment horizontal="center" vertical="top"/>
      <protection hidden="1"/>
    </xf>
    <xf numFmtId="8" fontId="128" fillId="35" borderId="26" xfId="0" applyNumberFormat="1" applyFont="1" applyFill="1" applyBorder="1" applyAlignment="1" applyProtection="1">
      <alignment horizontal="center" vertical="center"/>
      <protection hidden="1"/>
    </xf>
    <xf numFmtId="8" fontId="128" fillId="40" borderId="26" xfId="0" applyNumberFormat="1" applyFont="1" applyFill="1" applyBorder="1" applyAlignment="1" applyProtection="1">
      <alignment horizontal="center" vertical="center"/>
      <protection hidden="1"/>
    </xf>
    <xf numFmtId="0" fontId="135" fillId="17" borderId="29" xfId="0" applyFont="1" applyFill="1" applyBorder="1" applyAlignment="1" applyProtection="1">
      <alignment horizontal="right" vertical="center" wrapText="1"/>
      <protection hidden="1"/>
    </xf>
    <xf numFmtId="0" fontId="105" fillId="41" borderId="10" xfId="0" applyFont="1" applyFill="1" applyBorder="1" applyAlignment="1" applyProtection="1">
      <alignment horizontal="center" vertical="center"/>
      <protection hidden="1"/>
    </xf>
    <xf numFmtId="0" fontId="105" fillId="41" borderId="28" xfId="0" applyFont="1" applyFill="1" applyBorder="1" applyAlignment="1" applyProtection="1">
      <alignment horizontal="center" vertical="center"/>
      <protection hidden="1"/>
    </xf>
    <xf numFmtId="0" fontId="136" fillId="0" borderId="0" xfId="0" applyFont="1" applyFill="1" applyBorder="1" applyAlignment="1" applyProtection="1">
      <alignment vertical="center" wrapText="1"/>
      <protection hidden="1"/>
    </xf>
    <xf numFmtId="0" fontId="102" fillId="15" borderId="11" xfId="0" applyFont="1" applyFill="1" applyBorder="1" applyAlignment="1" applyProtection="1">
      <alignment horizontal="right"/>
      <protection hidden="1"/>
    </xf>
    <xf numFmtId="0" fontId="0" fillId="35" borderId="13" xfId="0" applyFill="1" applyBorder="1" applyAlignment="1" applyProtection="1">
      <alignment horizontal="right" vertical="center"/>
      <protection hidden="1"/>
    </xf>
    <xf numFmtId="8" fontId="61" fillId="35" borderId="26" xfId="0" applyNumberFormat="1" applyFont="1" applyFill="1" applyBorder="1" applyAlignment="1" applyProtection="1">
      <alignment horizontal="center" vertical="center"/>
      <protection hidden="1"/>
    </xf>
    <xf numFmtId="167" fontId="0" fillId="40" borderId="26" xfId="0" applyNumberFormat="1" applyFill="1" applyBorder="1" applyAlignment="1" applyProtection="1">
      <alignment horizontal="center" vertical="center"/>
      <protection hidden="1"/>
    </xf>
    <xf numFmtId="0" fontId="105" fillId="37" borderId="11" xfId="0" applyFont="1" applyFill="1" applyBorder="1" applyAlignment="1" applyProtection="1">
      <alignment horizontal="center" vertical="center" wrapText="1"/>
      <protection hidden="1"/>
    </xf>
    <xf numFmtId="0" fontId="105" fillId="34" borderId="12" xfId="0" applyFont="1" applyFill="1" applyBorder="1" applyAlignment="1" applyProtection="1">
      <alignment horizontal="center" vertical="center"/>
      <protection hidden="1"/>
    </xf>
    <xf numFmtId="0" fontId="125" fillId="0" borderId="0" xfId="0" applyFont="1" applyAlignment="1" applyProtection="1">
      <alignment horizontal="right" vertical="center"/>
      <protection hidden="1"/>
    </xf>
    <xf numFmtId="8" fontId="125" fillId="0" borderId="0" xfId="0" applyNumberFormat="1" applyFont="1" applyAlignment="1" applyProtection="1">
      <alignment horizontal="center" vertical="center"/>
      <protection hidden="1"/>
    </xf>
    <xf numFmtId="0" fontId="125" fillId="0" borderId="0" xfId="0" applyFont="1" applyAlignment="1" applyProtection="1">
      <alignment horizontal="center" vertical="center"/>
      <protection hidden="1"/>
    </xf>
    <xf numFmtId="9" fontId="122" fillId="0" borderId="10" xfId="0" applyNumberFormat="1" applyFont="1" applyFill="1" applyBorder="1" applyAlignment="1" applyProtection="1">
      <alignment horizontal="center" vertical="center"/>
      <protection hidden="1" locked="0"/>
    </xf>
    <xf numFmtId="0" fontId="119" fillId="0" borderId="0" xfId="0" applyFont="1" applyAlignment="1" applyProtection="1">
      <alignment horizontal="center" vertical="center"/>
      <protection hidden="1"/>
    </xf>
    <xf numFmtId="0" fontId="119" fillId="0" borderId="0" xfId="0" applyFont="1" applyAlignment="1" applyProtection="1">
      <alignment horizontal="right" vertical="center"/>
      <protection hidden="1"/>
    </xf>
    <xf numFmtId="10" fontId="119" fillId="0" borderId="0" xfId="0" applyNumberFormat="1" applyFont="1" applyAlignment="1" applyProtection="1">
      <alignment horizontal="center" vertical="center"/>
      <protection hidden="1"/>
    </xf>
    <xf numFmtId="8" fontId="137" fillId="37" borderId="13" xfId="0" applyNumberFormat="1" applyFont="1" applyFill="1" applyBorder="1" applyAlignment="1" applyProtection="1">
      <alignment horizontal="center" vertical="center"/>
      <protection hidden="1"/>
    </xf>
    <xf numFmtId="8" fontId="137" fillId="34" borderId="14" xfId="0" applyNumberFormat="1" applyFont="1" applyFill="1" applyBorder="1" applyAlignment="1" applyProtection="1">
      <alignment horizontal="center" vertical="center"/>
      <protection hidden="1"/>
    </xf>
    <xf numFmtId="0" fontId="135" fillId="37" borderId="29" xfId="0" applyFont="1" applyFill="1" applyBorder="1" applyAlignment="1" applyProtection="1">
      <alignment horizontal="right" vertical="center"/>
      <protection hidden="1"/>
    </xf>
    <xf numFmtId="8" fontId="138" fillId="37" borderId="15" xfId="0" applyNumberFormat="1" applyFont="1" applyFill="1" applyBorder="1" applyAlignment="1" applyProtection="1">
      <alignment horizontal="center" vertical="center"/>
      <protection hidden="1"/>
    </xf>
    <xf numFmtId="8" fontId="138" fillId="34" borderId="18" xfId="0" applyNumberFormat="1" applyFont="1" applyFill="1" applyBorder="1" applyAlignment="1" applyProtection="1">
      <alignment horizontal="center" vertical="center"/>
      <protection hidden="1"/>
    </xf>
    <xf numFmtId="0" fontId="135" fillId="37" borderId="17" xfId="0" applyFont="1" applyFill="1" applyBorder="1" applyAlignment="1" applyProtection="1">
      <alignment horizontal="right" vertical="center" wrapText="1"/>
      <protection hidden="1"/>
    </xf>
    <xf numFmtId="0" fontId="135" fillId="17" borderId="30" xfId="0" applyFont="1" applyFill="1" applyBorder="1" applyAlignment="1" applyProtection="1">
      <alignment horizontal="right" vertical="center"/>
      <protection hidden="1"/>
    </xf>
    <xf numFmtId="0" fontId="125" fillId="38" borderId="14" xfId="0" applyFont="1" applyFill="1" applyBorder="1" applyAlignment="1" applyProtection="1">
      <alignment horizontal="center" vertical="center"/>
      <protection hidden="1"/>
    </xf>
    <xf numFmtId="175" fontId="139" fillId="35" borderId="28" xfId="0" applyNumberFormat="1" applyFont="1" applyFill="1" applyBorder="1" applyAlignment="1" applyProtection="1">
      <alignment horizontal="center" vertical="top"/>
      <protection hidden="1"/>
    </xf>
    <xf numFmtId="167" fontId="140" fillId="33" borderId="10" xfId="0" applyNumberFormat="1" applyFont="1" applyFill="1" applyBorder="1" applyAlignment="1" applyProtection="1">
      <alignment horizontal="center"/>
      <protection hidden="1" locked="0"/>
    </xf>
    <xf numFmtId="0" fontId="141" fillId="0" borderId="0" xfId="0" applyFont="1" applyBorder="1" applyAlignment="1" applyProtection="1">
      <alignment horizontal="left" vertical="top"/>
      <protection hidden="1"/>
    </xf>
    <xf numFmtId="167" fontId="142" fillId="37" borderId="10" xfId="0" applyNumberFormat="1" applyFont="1" applyFill="1" applyBorder="1" applyAlignment="1" applyProtection="1">
      <alignment horizontal="center" vertical="center"/>
      <protection hidden="1"/>
    </xf>
    <xf numFmtId="167" fontId="142" fillId="37" borderId="10" xfId="0" applyNumberFormat="1" applyFont="1" applyFill="1" applyBorder="1" applyAlignment="1" applyProtection="1">
      <alignment horizontal="center"/>
      <protection hidden="1"/>
    </xf>
    <xf numFmtId="0" fontId="143" fillId="33" borderId="0" xfId="0" applyFont="1" applyFill="1" applyBorder="1" applyAlignment="1" applyProtection="1">
      <alignment horizontal="center" vertical="center"/>
      <protection hidden="1" locked="0"/>
    </xf>
    <xf numFmtId="0" fontId="144" fillId="37" borderId="14" xfId="0" applyFont="1" applyFill="1" applyBorder="1" applyAlignment="1" applyProtection="1">
      <alignment horizontal="center" vertical="center"/>
      <protection hidden="1"/>
    </xf>
    <xf numFmtId="0" fontId="143" fillId="33" borderId="14" xfId="0" applyFont="1" applyFill="1" applyBorder="1" applyAlignment="1" applyProtection="1">
      <alignment horizontal="center" vertical="center"/>
      <protection hidden="1" locked="0"/>
    </xf>
    <xf numFmtId="0" fontId="70" fillId="0" borderId="10" xfId="0" applyFont="1" applyFill="1" applyBorder="1" applyAlignment="1" applyProtection="1">
      <alignment horizontal="center" vertical="center"/>
      <protection hidden="1"/>
    </xf>
    <xf numFmtId="0" fontId="33" fillId="0" borderId="10" xfId="0" applyFont="1" applyFill="1" applyBorder="1" applyAlignment="1" applyProtection="1">
      <alignment horizontal="center" vertical="center"/>
      <protection hidden="1"/>
    </xf>
    <xf numFmtId="9" fontId="122" fillId="0" borderId="10" xfId="0" applyNumberFormat="1" applyFont="1" applyFill="1" applyBorder="1" applyAlignment="1" applyProtection="1">
      <alignment horizontal="center" vertical="center"/>
      <protection hidden="1"/>
    </xf>
    <xf numFmtId="168" fontId="115" fillId="0" borderId="0" xfId="0" applyNumberFormat="1" applyFont="1" applyFill="1" applyBorder="1" applyAlignment="1" applyProtection="1">
      <alignment horizontal="center" vertical="center"/>
      <protection hidden="1"/>
    </xf>
    <xf numFmtId="167" fontId="105" fillId="0" borderId="0" xfId="0" applyNumberFormat="1" applyFont="1" applyFill="1" applyBorder="1" applyAlignment="1" applyProtection="1">
      <alignment horizontal="center"/>
      <protection hidden="1"/>
    </xf>
    <xf numFmtId="0" fontId="117" fillId="0" borderId="0" xfId="0" applyFont="1" applyFill="1" applyBorder="1" applyAlignment="1" applyProtection="1">
      <alignment horizontal="right" vertical="center"/>
      <protection hidden="1"/>
    </xf>
    <xf numFmtId="0" fontId="117" fillId="0" borderId="0" xfId="0" applyFont="1" applyFill="1" applyBorder="1" applyAlignment="1" applyProtection="1">
      <alignment horizontal="center" vertical="center"/>
      <protection hidden="1"/>
    </xf>
    <xf numFmtId="167" fontId="118" fillId="0" borderId="0" xfId="0" applyNumberFormat="1" applyFont="1" applyFill="1" applyBorder="1" applyAlignment="1" applyProtection="1">
      <alignment horizontal="center"/>
      <protection hidden="1"/>
    </xf>
    <xf numFmtId="167" fontId="122" fillId="0" borderId="0" xfId="0" applyNumberFormat="1" applyFont="1" applyFill="1" applyBorder="1" applyAlignment="1" applyProtection="1">
      <alignment horizontal="center" vertical="center"/>
      <protection hidden="1"/>
    </xf>
    <xf numFmtId="167" fontId="116" fillId="0" borderId="0" xfId="0" applyNumberFormat="1" applyFont="1" applyFill="1" applyBorder="1" applyAlignment="1" applyProtection="1">
      <alignment horizontal="center" vertical="center"/>
      <protection hidden="1"/>
    </xf>
    <xf numFmtId="0" fontId="114" fillId="0" borderId="0" xfId="0" applyFont="1" applyFill="1" applyBorder="1" applyAlignment="1" applyProtection="1">
      <alignment horizontal="center"/>
      <protection hidden="1"/>
    </xf>
    <xf numFmtId="167" fontId="70" fillId="0" borderId="0" xfId="0" applyNumberFormat="1" applyFont="1" applyFill="1" applyBorder="1" applyAlignment="1" applyProtection="1">
      <alignment horizontal="center"/>
      <protection hidden="1"/>
    </xf>
    <xf numFmtId="0" fontId="115" fillId="0" borderId="0" xfId="0" applyFont="1" applyFill="1" applyBorder="1" applyAlignment="1" applyProtection="1">
      <alignment horizontal="center"/>
      <protection hidden="1"/>
    </xf>
    <xf numFmtId="10" fontId="119" fillId="0" borderId="0" xfId="0" applyNumberFormat="1" applyFont="1" applyFill="1" applyBorder="1" applyAlignment="1" applyProtection="1">
      <alignment horizontal="left"/>
      <protection hidden="1"/>
    </xf>
    <xf numFmtId="0" fontId="131" fillId="0" borderId="0" xfId="0" applyFont="1" applyFill="1" applyBorder="1" applyAlignment="1" applyProtection="1">
      <alignment horizontal="left"/>
      <protection hidden="1"/>
    </xf>
    <xf numFmtId="0" fontId="104" fillId="0" borderId="0" xfId="0" applyFont="1" applyFill="1" applyBorder="1" applyAlignment="1" applyProtection="1">
      <alignment horizontal="left"/>
      <protection hidden="1"/>
    </xf>
    <xf numFmtId="167" fontId="114" fillId="0" borderId="0" xfId="0" applyNumberFormat="1" applyFont="1" applyFill="1" applyBorder="1" applyAlignment="1" applyProtection="1">
      <alignment horizontal="center" vertical="top"/>
      <protection hidden="1"/>
    </xf>
    <xf numFmtId="0" fontId="127" fillId="0" borderId="0" xfId="0" applyFont="1" applyBorder="1" applyAlignment="1" applyProtection="1">
      <alignment/>
      <protection hidden="1"/>
    </xf>
    <xf numFmtId="0" fontId="145" fillId="0" borderId="11" xfId="0" applyFont="1" applyBorder="1" applyAlignment="1" applyProtection="1">
      <alignment/>
      <protection hidden="1"/>
    </xf>
    <xf numFmtId="167" fontId="146" fillId="33" borderId="10" xfId="0" applyNumberFormat="1" applyFont="1" applyFill="1" applyBorder="1" applyAlignment="1" applyProtection="1">
      <alignment horizontal="center"/>
      <protection hidden="1" locked="0"/>
    </xf>
    <xf numFmtId="167" fontId="109" fillId="0" borderId="0" xfId="0" applyNumberFormat="1" applyFont="1" applyFill="1" applyBorder="1" applyAlignment="1" applyProtection="1">
      <alignment horizontal="center"/>
      <protection hidden="1"/>
    </xf>
    <xf numFmtId="167" fontId="52" fillId="0" borderId="0" xfId="0" applyNumberFormat="1" applyFont="1" applyFill="1" applyBorder="1" applyAlignment="1" applyProtection="1">
      <alignment horizontal="center"/>
      <protection hidden="1" locked="0"/>
    </xf>
    <xf numFmtId="167" fontId="70" fillId="34" borderId="31" xfId="0" applyNumberFormat="1" applyFont="1" applyFill="1" applyBorder="1" applyAlignment="1" applyProtection="1">
      <alignment horizontal="center"/>
      <protection hidden="1"/>
    </xf>
    <xf numFmtId="0" fontId="132" fillId="0" borderId="0" xfId="0" applyFont="1" applyBorder="1" applyAlignment="1" applyProtection="1">
      <alignment/>
      <protection hidden="1"/>
    </xf>
    <xf numFmtId="167" fontId="127" fillId="0" borderId="32" xfId="0" applyNumberFormat="1" applyFont="1" applyBorder="1" applyAlignment="1" applyProtection="1">
      <alignment horizontal="center"/>
      <protection hidden="1"/>
    </xf>
    <xf numFmtId="0" fontId="127" fillId="0" borderId="18" xfId="0" applyFont="1" applyBorder="1" applyAlignment="1" applyProtection="1">
      <alignment/>
      <protection hidden="1"/>
    </xf>
    <xf numFmtId="0" fontId="110" fillId="0" borderId="0" xfId="0" applyFont="1" applyBorder="1" applyAlignment="1" applyProtection="1">
      <alignment horizontal="center" vertical="center"/>
      <protection hidden="1"/>
    </xf>
    <xf numFmtId="0" fontId="110" fillId="0" borderId="33" xfId="0" applyFont="1" applyFill="1" applyBorder="1" applyAlignment="1" applyProtection="1">
      <alignment horizontal="center"/>
      <protection hidden="1"/>
    </xf>
    <xf numFmtId="164" fontId="51" fillId="0" borderId="0" xfId="0" applyNumberFormat="1" applyFont="1" applyFill="1" applyBorder="1" applyAlignment="1" applyProtection="1">
      <alignment horizontal="center" vertical="top"/>
      <protection hidden="1"/>
    </xf>
    <xf numFmtId="164" fontId="147" fillId="0" borderId="0" xfId="0" applyNumberFormat="1" applyFont="1" applyFill="1" applyBorder="1" applyAlignment="1" applyProtection="1">
      <alignment horizontal="center" vertical="top"/>
      <protection hidden="1"/>
    </xf>
    <xf numFmtId="167" fontId="142" fillId="0" borderId="0" xfId="0" applyNumberFormat="1" applyFont="1" applyFill="1" applyBorder="1" applyAlignment="1" applyProtection="1">
      <alignment horizontal="center" vertical="center"/>
      <protection hidden="1"/>
    </xf>
    <xf numFmtId="167" fontId="148" fillId="0" borderId="0" xfId="0" applyNumberFormat="1" applyFont="1" applyFill="1" applyBorder="1" applyAlignment="1" applyProtection="1">
      <alignment horizontal="center" vertical="center"/>
      <protection hidden="1"/>
    </xf>
    <xf numFmtId="167" fontId="149" fillId="0" borderId="0" xfId="0" applyNumberFormat="1" applyFont="1" applyFill="1" applyBorder="1" applyAlignment="1" applyProtection="1">
      <alignment horizontal="right" vertical="center"/>
      <protection hidden="1"/>
    </xf>
    <xf numFmtId="167" fontId="148" fillId="0" borderId="0" xfId="0" applyNumberFormat="1" applyFont="1" applyFill="1" applyBorder="1" applyAlignment="1" applyProtection="1">
      <alignment horizontal="right" vertical="center"/>
      <protection hidden="1"/>
    </xf>
    <xf numFmtId="164" fontId="148" fillId="0" borderId="0" xfId="0" applyNumberFormat="1" applyFont="1" applyFill="1" applyBorder="1" applyAlignment="1" applyProtection="1">
      <alignment horizontal="left" vertical="center"/>
      <protection hidden="1"/>
    </xf>
    <xf numFmtId="164" fontId="148" fillId="0" borderId="0" xfId="0" applyNumberFormat="1" applyFont="1" applyFill="1" applyBorder="1" applyAlignment="1" applyProtection="1">
      <alignment horizontal="left"/>
      <protection hidden="1"/>
    </xf>
    <xf numFmtId="0" fontId="110" fillId="0" borderId="33" xfId="0" applyFont="1" applyBorder="1" applyAlignment="1" applyProtection="1">
      <alignment horizontal="center" vertical="center"/>
      <protection hidden="1"/>
    </xf>
    <xf numFmtId="167" fontId="109" fillId="0" borderId="0" xfId="0" applyNumberFormat="1" applyFont="1" applyAlignment="1" applyProtection="1">
      <alignment/>
      <protection hidden="1"/>
    </xf>
    <xf numFmtId="164" fontId="147" fillId="33" borderId="10" xfId="0" applyNumberFormat="1" applyFont="1" applyFill="1" applyBorder="1" applyAlignment="1" applyProtection="1">
      <alignment horizontal="center" vertical="center"/>
      <protection hidden="1" locked="0"/>
    </xf>
    <xf numFmtId="164" fontId="76" fillId="0" borderId="10" xfId="0" applyNumberFormat="1" applyFont="1" applyFill="1" applyBorder="1" applyAlignment="1" applyProtection="1">
      <alignment horizontal="center" vertical="center"/>
      <protection hidden="1"/>
    </xf>
    <xf numFmtId="0" fontId="108" fillId="34" borderId="0" xfId="0" applyFont="1" applyFill="1" applyAlignment="1" applyProtection="1">
      <alignment vertical="center"/>
      <protection hidden="1"/>
    </xf>
    <xf numFmtId="0" fontId="110" fillId="40" borderId="10" xfId="0" applyFont="1" applyFill="1" applyBorder="1" applyAlignment="1" applyProtection="1">
      <alignment horizontal="center" vertical="center"/>
      <protection hidden="1"/>
    </xf>
    <xf numFmtId="167" fontId="140" fillId="0" borderId="0" xfId="0" applyNumberFormat="1" applyFont="1" applyFill="1" applyBorder="1" applyAlignment="1" applyProtection="1">
      <alignment horizontal="center" vertical="center"/>
      <protection hidden="1"/>
    </xf>
    <xf numFmtId="8" fontId="52" fillId="0" borderId="0" xfId="0" applyNumberFormat="1" applyFont="1" applyFill="1" applyBorder="1" applyAlignment="1" applyProtection="1">
      <alignment horizontal="center" vertical="center"/>
      <protection hidden="1"/>
    </xf>
    <xf numFmtId="167" fontId="52" fillId="0" borderId="0" xfId="0" applyNumberFormat="1" applyFont="1" applyFill="1" applyBorder="1" applyAlignment="1" applyProtection="1">
      <alignment horizontal="center" vertical="center"/>
      <protection hidden="1"/>
    </xf>
    <xf numFmtId="0" fontId="141" fillId="0" borderId="0" xfId="0" applyFont="1" applyBorder="1" applyAlignment="1" applyProtection="1">
      <alignment horizontal="left" vertical="center"/>
      <protection hidden="1"/>
    </xf>
    <xf numFmtId="0" fontId="150" fillId="0" borderId="13" xfId="0" applyFont="1" applyBorder="1" applyAlignment="1" applyProtection="1">
      <alignment horizontal="left" vertical="center"/>
      <protection hidden="1"/>
    </xf>
    <xf numFmtId="0" fontId="150" fillId="0" borderId="13" xfId="0" applyFont="1" applyBorder="1" applyAlignment="1" applyProtection="1">
      <alignment horizontal="center" vertical="center"/>
      <protection hidden="1"/>
    </xf>
    <xf numFmtId="0" fontId="150" fillId="0" borderId="15" xfId="0" applyFont="1" applyBorder="1" applyAlignment="1" applyProtection="1">
      <alignment horizontal="center" vertical="center"/>
      <protection hidden="1"/>
    </xf>
    <xf numFmtId="0" fontId="151" fillId="37" borderId="11" xfId="0" applyFont="1" applyFill="1" applyBorder="1" applyAlignment="1" applyProtection="1">
      <alignment vertical="center"/>
      <protection hidden="1"/>
    </xf>
    <xf numFmtId="0" fontId="134" fillId="37" borderId="33" xfId="0" applyFont="1" applyFill="1" applyBorder="1" applyAlignment="1" applyProtection="1">
      <alignment vertical="center"/>
      <protection hidden="1"/>
    </xf>
    <xf numFmtId="0" fontId="134" fillId="37" borderId="12" xfId="0" applyFont="1" applyFill="1" applyBorder="1" applyAlignment="1" applyProtection="1">
      <alignment vertical="center"/>
      <protection hidden="1"/>
    </xf>
    <xf numFmtId="0" fontId="150" fillId="0" borderId="0" xfId="0" applyFont="1" applyBorder="1" applyAlignment="1" applyProtection="1">
      <alignment horizontal="center" vertical="center"/>
      <protection hidden="1"/>
    </xf>
    <xf numFmtId="0" fontId="152" fillId="33" borderId="14" xfId="0" applyFont="1" applyFill="1" applyBorder="1" applyAlignment="1" applyProtection="1">
      <alignment horizontal="center" vertical="center"/>
      <protection hidden="1" locked="0"/>
    </xf>
    <xf numFmtId="0" fontId="150" fillId="0" borderId="17" xfId="0" applyFont="1" applyFill="1" applyBorder="1" applyAlignment="1" applyProtection="1">
      <alignment vertical="center"/>
      <protection hidden="1"/>
    </xf>
    <xf numFmtId="167" fontId="150" fillId="0" borderId="18" xfId="0" applyNumberFormat="1" applyFont="1" applyFill="1" applyBorder="1" applyAlignment="1" applyProtection="1">
      <alignment vertical="center"/>
      <protection hidden="1"/>
    </xf>
    <xf numFmtId="0" fontId="80" fillId="0" borderId="31" xfId="0" applyFont="1" applyFill="1" applyBorder="1" applyAlignment="1" applyProtection="1">
      <alignment horizontal="center" vertical="center"/>
      <protection hidden="1"/>
    </xf>
    <xf numFmtId="0" fontId="109" fillId="0" borderId="0" xfId="0" applyNumberFormat="1" applyFont="1" applyBorder="1" applyAlignment="1" applyProtection="1">
      <alignment horizontal="center"/>
      <protection hidden="1"/>
    </xf>
    <xf numFmtId="167" fontId="52" fillId="0" borderId="10" xfId="0" applyNumberFormat="1" applyFont="1" applyFill="1" applyBorder="1" applyAlignment="1" applyProtection="1">
      <alignment horizontal="center"/>
      <protection hidden="1" locked="0"/>
    </xf>
    <xf numFmtId="167" fontId="127" fillId="0" borderId="0" xfId="0" applyNumberFormat="1" applyFont="1" applyBorder="1" applyAlignment="1" applyProtection="1">
      <alignment/>
      <protection hidden="1"/>
    </xf>
    <xf numFmtId="0" fontId="132" fillId="0" borderId="0" xfId="0" applyFont="1" applyBorder="1" applyAlignment="1" applyProtection="1">
      <alignment vertical="center" wrapText="1"/>
      <protection hidden="1"/>
    </xf>
    <xf numFmtId="167" fontId="70" fillId="0" borderId="10" xfId="0" applyNumberFormat="1" applyFont="1" applyFill="1" applyBorder="1" applyAlignment="1" applyProtection="1">
      <alignment horizontal="center" vertical="center"/>
      <protection hidden="1"/>
    </xf>
    <xf numFmtId="167" fontId="70" fillId="0" borderId="10" xfId="0" applyNumberFormat="1" applyFont="1" applyFill="1" applyBorder="1" applyAlignment="1" applyProtection="1">
      <alignment horizontal="center"/>
      <protection hidden="1"/>
    </xf>
    <xf numFmtId="0" fontId="119" fillId="0" borderId="0" xfId="0" applyFont="1" applyAlignment="1" applyProtection="1">
      <alignment/>
      <protection hidden="1"/>
    </xf>
    <xf numFmtId="167" fontId="119" fillId="0" borderId="0" xfId="0" applyNumberFormat="1" applyFont="1" applyAlignment="1" applyProtection="1">
      <alignment/>
      <protection hidden="1"/>
    </xf>
    <xf numFmtId="0" fontId="153" fillId="33" borderId="0" xfId="0" applyFont="1" applyFill="1" applyAlignment="1" applyProtection="1">
      <alignment horizontal="center" vertical="center"/>
      <protection hidden="1"/>
    </xf>
    <xf numFmtId="0" fontId="154" fillId="33" borderId="0" xfId="0" applyFont="1" applyFill="1" applyAlignment="1" applyProtection="1">
      <alignment horizontal="center" vertical="center"/>
      <protection hidden="1"/>
    </xf>
    <xf numFmtId="0" fontId="110" fillId="0" borderId="33" xfId="0" applyFont="1" applyBorder="1" applyAlignment="1" applyProtection="1">
      <alignment horizontal="center" vertical="center"/>
      <protection hidden="1"/>
    </xf>
    <xf numFmtId="0" fontId="115" fillId="0" borderId="0" xfId="0" applyFont="1" applyFill="1" applyBorder="1" applyAlignment="1" applyProtection="1">
      <alignment horizontal="left" vertical="center" wrapText="1"/>
      <protection hidden="1"/>
    </xf>
    <xf numFmtId="10" fontId="110" fillId="35" borderId="12" xfId="0" applyNumberFormat="1" applyFont="1" applyFill="1" applyBorder="1" applyAlignment="1" applyProtection="1">
      <alignment horizontal="center" vertical="center" wrapText="1"/>
      <protection hidden="1"/>
    </xf>
    <xf numFmtId="10" fontId="110" fillId="35" borderId="14" xfId="0" applyNumberFormat="1" applyFont="1" applyFill="1" applyBorder="1" applyAlignment="1" applyProtection="1">
      <alignment horizontal="center" vertical="center" wrapText="1"/>
      <protection hidden="1"/>
    </xf>
    <xf numFmtId="0" fontId="152" fillId="33" borderId="0" xfId="0" applyFont="1" applyFill="1" applyAlignment="1" applyProtection="1">
      <alignment horizontal="right"/>
      <protection hidden="1"/>
    </xf>
    <xf numFmtId="0" fontId="152" fillId="33" borderId="0" xfId="0" applyFont="1" applyFill="1" applyBorder="1" applyAlignment="1" applyProtection="1">
      <alignment horizontal="right"/>
      <protection hidden="1"/>
    </xf>
    <xf numFmtId="0" fontId="155" fillId="33" borderId="0" xfId="0" applyFont="1" applyFill="1" applyAlignment="1" applyProtection="1">
      <alignment horizontal="center"/>
      <protection hidden="1"/>
    </xf>
    <xf numFmtId="0" fontId="118" fillId="0" borderId="0" xfId="0" applyFont="1" applyFill="1" applyBorder="1" applyAlignment="1" applyProtection="1">
      <alignment horizontal="center" vertical="center" wrapText="1"/>
      <protection hidden="1"/>
    </xf>
    <xf numFmtId="0" fontId="105" fillId="0" borderId="33" xfId="0" applyFont="1" applyBorder="1" applyAlignment="1" applyProtection="1">
      <alignment horizontal="center" vertical="center" wrapText="1"/>
      <protection hidden="1"/>
    </xf>
    <xf numFmtId="0" fontId="105" fillId="0" borderId="0" xfId="0" applyFont="1" applyBorder="1" applyAlignment="1" applyProtection="1">
      <alignment horizontal="center" vertical="center" wrapText="1"/>
      <protection hidden="1"/>
    </xf>
    <xf numFmtId="0" fontId="108" fillId="34" borderId="0" xfId="0" applyFont="1" applyFill="1" applyAlignment="1" applyProtection="1">
      <alignment horizontal="center"/>
      <protection hidden="1"/>
    </xf>
    <xf numFmtId="0" fontId="156" fillId="34" borderId="27" xfId="0" applyFont="1" applyFill="1" applyBorder="1" applyAlignment="1" applyProtection="1">
      <alignment horizontal="center" vertical="center"/>
      <protection hidden="1"/>
    </xf>
    <xf numFmtId="0" fontId="156" fillId="34" borderId="28" xfId="0" applyFont="1" applyFill="1" applyBorder="1" applyAlignment="1" applyProtection="1">
      <alignment horizontal="center" vertical="center"/>
      <protection hidden="1"/>
    </xf>
    <xf numFmtId="0" fontId="70" fillId="34" borderId="12" xfId="0" applyFont="1" applyFill="1" applyBorder="1" applyAlignment="1" applyProtection="1">
      <alignment horizontal="center" vertical="center" wrapText="1"/>
      <protection hidden="1"/>
    </xf>
    <xf numFmtId="0" fontId="70" fillId="34" borderId="14" xfId="0" applyFont="1" applyFill="1" applyBorder="1" applyAlignment="1" applyProtection="1">
      <alignment horizontal="center" vertical="center" wrapText="1"/>
      <protection hidden="1"/>
    </xf>
    <xf numFmtId="0" fontId="114" fillId="0" borderId="0" xfId="0" applyFont="1" applyBorder="1" applyAlignment="1" applyProtection="1">
      <alignment horizontal="center"/>
      <protection hidden="1"/>
    </xf>
    <xf numFmtId="0" fontId="115" fillId="0" borderId="14" xfId="0" applyFont="1" applyBorder="1" applyAlignment="1" applyProtection="1">
      <alignment horizontal="left" vertical="center" wrapText="1"/>
      <protection hidden="1"/>
    </xf>
    <xf numFmtId="167" fontId="114" fillId="0" borderId="24" xfId="0" applyNumberFormat="1" applyFont="1" applyBorder="1" applyAlignment="1" applyProtection="1">
      <alignment horizontal="center" vertical="top"/>
      <protection hidden="1"/>
    </xf>
    <xf numFmtId="167" fontId="114" fillId="0" borderId="17" xfId="0" applyNumberFormat="1" applyFont="1" applyBorder="1" applyAlignment="1" applyProtection="1">
      <alignment horizontal="center" vertical="top"/>
      <protection hidden="1"/>
    </xf>
    <xf numFmtId="0" fontId="140" fillId="33" borderId="0" xfId="0" applyFont="1" applyFill="1" applyAlignment="1" applyProtection="1">
      <alignment horizontal="center"/>
      <protection hidden="1"/>
    </xf>
    <xf numFmtId="0" fontId="140" fillId="33" borderId="14" xfId="0" applyFont="1" applyFill="1" applyBorder="1" applyAlignment="1" applyProtection="1">
      <alignment horizontal="center"/>
      <protection hidden="1"/>
    </xf>
    <xf numFmtId="0" fontId="0" fillId="15" borderId="17" xfId="0" applyFill="1" applyBorder="1" applyAlignment="1" applyProtection="1">
      <alignment horizontal="center" vertical="top"/>
      <protection hidden="1"/>
    </xf>
    <xf numFmtId="0" fontId="0" fillId="15" borderId="18" xfId="0" applyFill="1" applyBorder="1" applyAlignment="1" applyProtection="1">
      <alignment horizontal="center" vertical="top"/>
      <protection hidden="1"/>
    </xf>
    <xf numFmtId="0" fontId="157" fillId="36" borderId="13" xfId="0" applyFont="1" applyFill="1" applyBorder="1" applyAlignment="1" applyProtection="1">
      <alignment horizontal="center" vertical="center" wrapText="1"/>
      <protection hidden="1"/>
    </xf>
    <xf numFmtId="0" fontId="157" fillId="36" borderId="0" xfId="0" applyFont="1" applyFill="1" applyBorder="1" applyAlignment="1" applyProtection="1">
      <alignment horizontal="center" vertical="center" wrapText="1"/>
      <protection hidden="1"/>
    </xf>
    <xf numFmtId="8" fontId="0" fillId="42" borderId="34" xfId="0" applyNumberFormat="1" applyFill="1" applyBorder="1" applyAlignment="1" applyProtection="1">
      <alignment horizontal="center" vertical="center"/>
      <protection hidden="1"/>
    </xf>
    <xf numFmtId="8" fontId="0" fillId="42" borderId="35" xfId="0" applyNumberFormat="1" applyFill="1" applyBorder="1" applyAlignment="1" applyProtection="1">
      <alignment horizontal="center" vertical="center"/>
      <protection hidden="1"/>
    </xf>
    <xf numFmtId="8" fontId="0" fillId="43" borderId="36" xfId="0" applyNumberFormat="1" applyFill="1" applyBorder="1" applyAlignment="1" applyProtection="1">
      <alignment horizontal="center" vertical="center"/>
      <protection hidden="1"/>
    </xf>
    <xf numFmtId="8" fontId="0" fillId="43" borderId="24" xfId="0" applyNumberFormat="1" applyFill="1" applyBorder="1" applyAlignment="1" applyProtection="1">
      <alignment horizontal="center" vertical="center"/>
      <protection hidden="1"/>
    </xf>
    <xf numFmtId="0" fontId="106" fillId="34" borderId="11" xfId="0" applyFont="1" applyFill="1" applyBorder="1" applyAlignment="1" applyProtection="1">
      <alignment horizontal="center" vertical="center" wrapText="1"/>
      <protection hidden="1"/>
    </xf>
    <xf numFmtId="0" fontId="106" fillId="34" borderId="33" xfId="0" applyFont="1" applyFill="1" applyBorder="1" applyAlignment="1" applyProtection="1">
      <alignment horizontal="center" vertical="center" wrapText="1"/>
      <protection hidden="1"/>
    </xf>
    <xf numFmtId="0" fontId="106" fillId="34" borderId="12" xfId="0" applyFont="1" applyFill="1" applyBorder="1" applyAlignment="1" applyProtection="1">
      <alignment horizontal="center" vertical="center" wrapText="1"/>
      <protection hidden="1"/>
    </xf>
    <xf numFmtId="0" fontId="102" fillId="35" borderId="27" xfId="0" applyFont="1" applyFill="1" applyBorder="1" applyAlignment="1" applyProtection="1">
      <alignment horizontal="center" wrapText="1"/>
      <protection hidden="1"/>
    </xf>
    <xf numFmtId="0" fontId="102" fillId="35" borderId="26" xfId="0" applyFont="1" applyFill="1" applyBorder="1" applyAlignment="1" applyProtection="1">
      <alignment horizontal="center" wrapText="1"/>
      <protection hidden="1"/>
    </xf>
    <xf numFmtId="0" fontId="102" fillId="35" borderId="13" xfId="0" applyFont="1" applyFill="1" applyBorder="1" applyAlignment="1" applyProtection="1">
      <alignment horizontal="center" wrapText="1"/>
      <protection hidden="1"/>
    </xf>
    <xf numFmtId="0" fontId="102" fillId="35" borderId="28" xfId="0" applyFont="1" applyFill="1" applyBorder="1" applyAlignment="1" applyProtection="1">
      <alignment horizontal="center" wrapText="1"/>
      <protection hidden="1"/>
    </xf>
    <xf numFmtId="0" fontId="0" fillId="44" borderId="27" xfId="0" applyFill="1" applyBorder="1" applyAlignment="1" applyProtection="1">
      <alignment horizontal="center" wrapText="1"/>
      <protection hidden="1"/>
    </xf>
    <xf numFmtId="0" fontId="0" fillId="44" borderId="26" xfId="0" applyFill="1" applyBorder="1" applyAlignment="1" applyProtection="1">
      <alignment horizontal="center" wrapText="1"/>
      <protection hidden="1"/>
    </xf>
    <xf numFmtId="0" fontId="0" fillId="44" borderId="28" xfId="0" applyFill="1" applyBorder="1" applyAlignment="1" applyProtection="1">
      <alignment horizontal="center" wrapText="1"/>
      <protection hidden="1"/>
    </xf>
    <xf numFmtId="0" fontId="106" fillId="34" borderId="13" xfId="0" applyFont="1" applyFill="1" applyBorder="1" applyAlignment="1" applyProtection="1">
      <alignment horizontal="center" vertical="center" wrapText="1"/>
      <protection hidden="1"/>
    </xf>
    <xf numFmtId="0" fontId="106" fillId="34" borderId="0" xfId="0" applyFont="1" applyFill="1" applyBorder="1" applyAlignment="1" applyProtection="1">
      <alignment horizontal="center" vertical="center" wrapText="1"/>
      <protection hidden="1"/>
    </xf>
    <xf numFmtId="0" fontId="106" fillId="34" borderId="14" xfId="0" applyFont="1" applyFill="1" applyBorder="1" applyAlignment="1" applyProtection="1">
      <alignment horizontal="center" vertical="center" wrapText="1"/>
      <protection hidden="1"/>
    </xf>
    <xf numFmtId="0" fontId="106" fillId="34" borderId="15" xfId="0" applyFont="1" applyFill="1" applyBorder="1" applyAlignment="1" applyProtection="1">
      <alignment horizontal="center" vertical="center" wrapText="1"/>
      <protection hidden="1"/>
    </xf>
    <xf numFmtId="0" fontId="106" fillId="34" borderId="17" xfId="0" applyFont="1" applyFill="1" applyBorder="1" applyAlignment="1" applyProtection="1">
      <alignment horizontal="center" vertical="center" wrapText="1"/>
      <protection hidden="1"/>
    </xf>
    <xf numFmtId="0" fontId="106" fillId="34" borderId="18" xfId="0" applyFont="1" applyFill="1" applyBorder="1" applyAlignment="1" applyProtection="1">
      <alignment horizontal="center" vertical="center" wrapText="1"/>
      <protection hidden="1"/>
    </xf>
    <xf numFmtId="0" fontId="158" fillId="33" borderId="27" xfId="0" applyFont="1" applyFill="1" applyBorder="1" applyAlignment="1" applyProtection="1">
      <alignment horizontal="center" vertical="top"/>
      <protection hidden="1" locked="0"/>
    </xf>
    <xf numFmtId="0" fontId="158" fillId="33" borderId="26" xfId="0" applyFont="1" applyFill="1" applyBorder="1" applyAlignment="1" applyProtection="1">
      <alignment horizontal="center" vertical="top"/>
      <protection hidden="1" locked="0"/>
    </xf>
    <xf numFmtId="0" fontId="158" fillId="33" borderId="28" xfId="0" applyFont="1" applyFill="1" applyBorder="1" applyAlignment="1" applyProtection="1">
      <alignment horizontal="center" vertical="top"/>
      <protection hidden="1" locked="0"/>
    </xf>
    <xf numFmtId="0" fontId="0" fillId="42" borderId="37" xfId="0" applyFill="1" applyBorder="1" applyAlignment="1" applyProtection="1">
      <alignment horizontal="center" vertical="center" wrapText="1"/>
      <protection hidden="1"/>
    </xf>
    <xf numFmtId="0" fontId="0" fillId="42" borderId="38" xfId="0" applyFill="1" applyBorder="1" applyAlignment="1" applyProtection="1">
      <alignment horizontal="center" vertical="center" wrapText="1"/>
      <protection hidden="1"/>
    </xf>
    <xf numFmtId="0" fontId="0" fillId="42" borderId="21" xfId="0" applyFill="1" applyBorder="1" applyAlignment="1" applyProtection="1">
      <alignment horizontal="center" vertical="center" wrapText="1"/>
      <protection hidden="1"/>
    </xf>
    <xf numFmtId="8" fontId="61" fillId="35" borderId="27" xfId="0" applyNumberFormat="1" applyFont="1" applyFill="1" applyBorder="1" applyAlignment="1" applyProtection="1">
      <alignment horizontal="center" vertical="center"/>
      <protection hidden="1"/>
    </xf>
    <xf numFmtId="8" fontId="61" fillId="35" borderId="28" xfId="0" applyNumberFormat="1" applyFont="1" applyFill="1" applyBorder="1" applyAlignment="1" applyProtection="1">
      <alignment horizontal="center" vertical="center"/>
      <protection hidden="1"/>
    </xf>
    <xf numFmtId="0" fontId="0" fillId="35" borderId="12" xfId="0" applyFill="1" applyBorder="1" applyAlignment="1" applyProtection="1">
      <alignment horizontal="right" vertical="center"/>
      <protection hidden="1"/>
    </xf>
    <xf numFmtId="0" fontId="0" fillId="35" borderId="18" xfId="0" applyFill="1" applyBorder="1" applyAlignment="1" applyProtection="1">
      <alignment horizontal="right" vertical="center"/>
      <protection hidden="1"/>
    </xf>
    <xf numFmtId="8" fontId="137" fillId="33" borderId="30" xfId="0" applyNumberFormat="1" applyFont="1" applyFill="1" applyBorder="1" applyAlignment="1" applyProtection="1">
      <alignment horizontal="center" vertical="center"/>
      <protection hidden="1" locked="0"/>
    </xf>
    <xf numFmtId="8" fontId="137" fillId="33" borderId="39" xfId="0" applyNumberFormat="1" applyFont="1" applyFill="1" applyBorder="1" applyAlignment="1" applyProtection="1">
      <alignment horizontal="center" vertical="center"/>
      <protection hidden="1" locked="0"/>
    </xf>
    <xf numFmtId="0" fontId="0" fillId="43" borderId="40" xfId="0" applyFill="1" applyBorder="1" applyAlignment="1" applyProtection="1">
      <alignment horizontal="center" vertical="center" wrapText="1"/>
      <protection hidden="1"/>
    </xf>
    <xf numFmtId="0" fontId="0" fillId="43" borderId="41" xfId="0" applyFill="1" applyBorder="1" applyAlignment="1" applyProtection="1">
      <alignment horizontal="center" vertical="center" wrapText="1"/>
      <protection hidden="1"/>
    </xf>
    <xf numFmtId="0" fontId="0" fillId="43" borderId="42" xfId="0" applyFill="1" applyBorder="1" applyAlignment="1" applyProtection="1">
      <alignment horizontal="center" vertical="center" wrapText="1"/>
      <protection hidden="1"/>
    </xf>
    <xf numFmtId="8" fontId="0" fillId="43" borderId="43" xfId="0" applyNumberFormat="1" applyFill="1" applyBorder="1" applyAlignment="1" applyProtection="1">
      <alignment horizontal="center" vertical="center"/>
      <protection hidden="1"/>
    </xf>
    <xf numFmtId="8" fontId="0" fillId="43" borderId="44" xfId="0" applyNumberFormat="1" applyFill="1" applyBorder="1" applyAlignment="1" applyProtection="1">
      <alignment horizontal="center" vertical="center"/>
      <protection hidden="1"/>
    </xf>
    <xf numFmtId="8" fontId="0" fillId="43" borderId="45" xfId="0" applyNumberFormat="1" applyFill="1" applyBorder="1" applyAlignment="1" applyProtection="1">
      <alignment horizontal="center" vertical="center"/>
      <protection hidden="1"/>
    </xf>
    <xf numFmtId="8" fontId="0" fillId="45" borderId="46" xfId="0" applyNumberFormat="1" applyFill="1" applyBorder="1" applyAlignment="1" applyProtection="1">
      <alignment horizontal="center" vertical="center"/>
      <protection hidden="1"/>
    </xf>
    <xf numFmtId="8" fontId="0" fillId="45" borderId="47" xfId="0" applyNumberFormat="1" applyFill="1" applyBorder="1" applyAlignment="1" applyProtection="1">
      <alignment horizontal="center" vertical="center"/>
      <protection hidden="1"/>
    </xf>
    <xf numFmtId="8" fontId="0" fillId="45" borderId="48" xfId="0" applyNumberFormat="1" applyFill="1" applyBorder="1" applyAlignment="1" applyProtection="1">
      <alignment horizontal="center" vertical="center"/>
      <protection hidden="1"/>
    </xf>
    <xf numFmtId="0" fontId="159" fillId="44" borderId="26" xfId="0" applyFont="1" applyFill="1" applyBorder="1" applyAlignment="1" applyProtection="1">
      <alignment horizontal="center" vertical="top"/>
      <protection hidden="1"/>
    </xf>
    <xf numFmtId="0" fontId="0" fillId="15" borderId="33" xfId="0" applyFill="1" applyBorder="1" applyAlignment="1" applyProtection="1">
      <alignment horizontal="center"/>
      <protection hidden="1"/>
    </xf>
    <xf numFmtId="0" fontId="0" fillId="15" borderId="12" xfId="0" applyFill="1" applyBorder="1" applyAlignment="1" applyProtection="1">
      <alignment horizontal="center"/>
      <protection hidden="1"/>
    </xf>
    <xf numFmtId="167" fontId="0" fillId="40" borderId="27" xfId="0" applyNumberFormat="1" applyFill="1" applyBorder="1" applyAlignment="1" applyProtection="1">
      <alignment horizontal="center" vertical="center"/>
      <protection hidden="1"/>
    </xf>
    <xf numFmtId="167" fontId="0" fillId="40" borderId="28" xfId="0" applyNumberFormat="1" applyFill="1" applyBorder="1" applyAlignment="1" applyProtection="1">
      <alignment horizontal="center" vertical="center"/>
      <protection hidden="1"/>
    </xf>
    <xf numFmtId="8" fontId="0" fillId="42" borderId="49" xfId="0" applyNumberFormat="1" applyFill="1" applyBorder="1" applyAlignment="1" applyProtection="1">
      <alignment horizontal="center" vertical="center"/>
      <protection hidden="1"/>
    </xf>
    <xf numFmtId="8" fontId="0" fillId="42" borderId="50" xfId="0" applyNumberFormat="1" applyFill="1" applyBorder="1" applyAlignment="1" applyProtection="1">
      <alignment horizontal="center" vertical="center"/>
      <protection hidden="1"/>
    </xf>
    <xf numFmtId="0" fontId="0" fillId="42" borderId="51" xfId="0" applyFill="1" applyBorder="1" applyAlignment="1" applyProtection="1">
      <alignment horizontal="center" vertical="center" wrapText="1"/>
      <protection hidden="1"/>
    </xf>
    <xf numFmtId="0" fontId="0" fillId="42" borderId="52" xfId="0" applyFill="1" applyBorder="1" applyAlignment="1" applyProtection="1">
      <alignment horizontal="center" vertical="center" wrapText="1"/>
      <protection hidden="1"/>
    </xf>
    <xf numFmtId="0" fontId="143" fillId="33" borderId="27" xfId="0" applyFont="1" applyFill="1" applyBorder="1" applyAlignment="1" applyProtection="1">
      <alignment horizontal="center" vertical="center" wrapText="1"/>
      <protection hidden="1"/>
    </xf>
    <xf numFmtId="0" fontId="143" fillId="33" borderId="26" xfId="0" applyFont="1" applyFill="1" applyBorder="1" applyAlignment="1" applyProtection="1">
      <alignment horizontal="center" vertical="center" wrapText="1"/>
      <protection hidden="1"/>
    </xf>
    <xf numFmtId="0" fontId="143" fillId="33" borderId="28" xfId="0" applyFont="1" applyFill="1" applyBorder="1" applyAlignment="1" applyProtection="1">
      <alignment horizontal="center" vertical="center" wrapText="1"/>
      <protection hidden="1"/>
    </xf>
    <xf numFmtId="8" fontId="138" fillId="17" borderId="18" xfId="0" applyNumberFormat="1" applyFont="1" applyFill="1" applyBorder="1" applyAlignment="1" applyProtection="1">
      <alignment horizontal="center" vertical="center"/>
      <protection hidden="1"/>
    </xf>
    <xf numFmtId="8" fontId="0" fillId="44" borderId="53" xfId="0" applyNumberFormat="1" applyFill="1" applyBorder="1" applyAlignment="1" applyProtection="1">
      <alignment horizontal="center" vertical="center"/>
      <protection hidden="1"/>
    </xf>
    <xf numFmtId="8" fontId="0" fillId="44" borderId="54" xfId="0" applyNumberFormat="1" applyFill="1" applyBorder="1" applyAlignment="1" applyProtection="1">
      <alignment horizontal="center" vertical="center"/>
      <protection hidden="1"/>
    </xf>
    <xf numFmtId="8" fontId="0" fillId="45" borderId="54" xfId="0" applyNumberFormat="1" applyFill="1" applyBorder="1" applyAlignment="1" applyProtection="1">
      <alignment horizontal="center" vertical="center"/>
      <protection hidden="1"/>
    </xf>
    <xf numFmtId="8" fontId="0" fillId="45" borderId="55" xfId="0" applyNumberFormat="1" applyFill="1" applyBorder="1" applyAlignment="1" applyProtection="1">
      <alignment horizontal="center" vertical="center"/>
      <protection hidden="1"/>
    </xf>
    <xf numFmtId="8" fontId="0" fillId="44" borderId="56" xfId="0" applyNumberFormat="1" applyFill="1" applyBorder="1" applyAlignment="1" applyProtection="1">
      <alignment horizontal="center" vertical="center"/>
      <protection hidden="1"/>
    </xf>
    <xf numFmtId="8" fontId="0" fillId="44" borderId="57" xfId="0" applyNumberFormat="1" applyFill="1" applyBorder="1" applyAlignment="1" applyProtection="1">
      <alignment horizontal="center" vertical="center"/>
      <protection hidden="1"/>
    </xf>
    <xf numFmtId="0" fontId="0" fillId="43" borderId="27" xfId="0" applyFill="1" applyBorder="1" applyAlignment="1" applyProtection="1">
      <alignment horizontal="center" vertical="center" wrapText="1"/>
      <protection hidden="1"/>
    </xf>
    <xf numFmtId="0" fontId="0" fillId="43" borderId="26" xfId="0" applyFill="1" applyBorder="1" applyAlignment="1" applyProtection="1">
      <alignment horizontal="center" vertical="center" wrapText="1"/>
      <protection hidden="1"/>
    </xf>
    <xf numFmtId="0" fontId="0" fillId="43" borderId="15" xfId="0"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P62"/>
  <sheetViews>
    <sheetView tabSelected="1" workbookViewId="0" topLeftCell="A18">
      <selection activeCell="C22" sqref="C22"/>
    </sheetView>
  </sheetViews>
  <sheetFormatPr defaultColWidth="31.00390625" defaultRowHeight="15"/>
  <cols>
    <col min="1" max="1" width="28.421875" style="11" customWidth="1"/>
    <col min="2" max="2" width="11.421875" style="11" customWidth="1"/>
    <col min="3" max="3" width="9.7109375" style="11" customWidth="1"/>
    <col min="4" max="4" width="9.7109375" style="15" customWidth="1"/>
    <col min="5" max="5" width="9.421875" style="35" bestFit="1" customWidth="1"/>
    <col min="6" max="6" width="18.8515625" style="35" customWidth="1"/>
    <col min="7" max="7" width="4.8515625" style="11" customWidth="1"/>
    <col min="8" max="8" width="9.57421875" style="2" bestFit="1" customWidth="1"/>
    <col min="9" max="9" width="9.421875" style="1" customWidth="1"/>
    <col min="10" max="10" width="26.7109375" style="1" bestFit="1" customWidth="1"/>
    <col min="11" max="11" width="9.421875" style="1" customWidth="1"/>
    <col min="12" max="12" width="10.140625" style="2" customWidth="1"/>
    <col min="13" max="13" width="13.140625" style="1" customWidth="1"/>
    <col min="14" max="14" width="3.421875" style="1" customWidth="1"/>
    <col min="15" max="15" width="10.8515625" style="106" customWidth="1"/>
    <col min="16" max="16" width="21.421875" style="106" bestFit="1" customWidth="1"/>
    <col min="17" max="16384" width="31.00390625" style="1" customWidth="1"/>
  </cols>
  <sheetData>
    <row r="1" spans="1:13" ht="15.75" customHeight="1">
      <c r="A1" s="9" t="s">
        <v>31</v>
      </c>
      <c r="B1" s="9"/>
      <c r="C1" s="9"/>
      <c r="D1" s="222"/>
      <c r="E1" s="9"/>
      <c r="F1" s="10"/>
      <c r="H1" s="247" t="s">
        <v>75</v>
      </c>
      <c r="I1" s="247"/>
      <c r="J1" s="247"/>
      <c r="K1" s="247"/>
      <c r="L1" s="247"/>
      <c r="M1" s="247"/>
    </row>
    <row r="2" spans="1:13" ht="15.75" customHeight="1" thickBot="1">
      <c r="A2" s="12" t="s">
        <v>1</v>
      </c>
      <c r="B2" s="253" t="s">
        <v>27</v>
      </c>
      <c r="C2" s="253"/>
      <c r="D2" s="253"/>
      <c r="E2" s="253"/>
      <c r="F2" s="253"/>
      <c r="G2" s="254"/>
      <c r="H2" s="248" t="s">
        <v>72</v>
      </c>
      <c r="I2" s="248"/>
      <c r="J2" s="248"/>
      <c r="K2" s="248"/>
      <c r="L2" s="248"/>
      <c r="M2" s="248"/>
    </row>
    <row r="3" spans="1:13" s="3" customFormat="1" ht="15" customHeight="1" thickBot="1">
      <c r="A3" s="13" t="s">
        <v>78</v>
      </c>
      <c r="B3" s="108">
        <f>SUM(I10)</f>
        <v>106</v>
      </c>
      <c r="C3" s="62">
        <v>1</v>
      </c>
      <c r="D3" s="223" t="s">
        <v>23</v>
      </c>
      <c r="E3" s="209"/>
      <c r="F3" s="14"/>
      <c r="G3" s="15"/>
      <c r="H3" s="255" t="s">
        <v>73</v>
      </c>
      <c r="I3" s="255"/>
      <c r="J3" s="255"/>
      <c r="K3" s="255"/>
      <c r="L3" s="255"/>
      <c r="M3" s="255"/>
    </row>
    <row r="4" spans="1:13" s="4" customFormat="1" ht="15" customHeight="1" thickBot="1">
      <c r="A4" s="16" t="s">
        <v>8</v>
      </c>
      <c r="B4" s="249" t="s">
        <v>4</v>
      </c>
      <c r="C4" s="249"/>
      <c r="D4" s="218"/>
      <c r="E4" s="211"/>
      <c r="F4" s="17" t="s">
        <v>0</v>
      </c>
      <c r="G4" s="18"/>
      <c r="H4" s="132"/>
      <c r="I4" s="200" t="s">
        <v>55</v>
      </c>
      <c r="J4" s="119"/>
      <c r="K4" s="185"/>
      <c r="L4" s="80"/>
      <c r="M4" s="191"/>
    </row>
    <row r="5" spans="1:13" s="4" customFormat="1" ht="15" customHeight="1" thickBot="1">
      <c r="A5" s="134">
        <v>1</v>
      </c>
      <c r="B5" s="243">
        <f>SUM(C9-(B6+B7)-(C6+C7))</f>
        <v>102.832</v>
      </c>
      <c r="C5" s="61">
        <f>SUM(B5*D5*100%)</f>
        <v>4.524608</v>
      </c>
      <c r="D5" s="220">
        <v>0.044</v>
      </c>
      <c r="E5" s="120">
        <f>SUM(A5*C5*C3)</f>
        <v>4.524608</v>
      </c>
      <c r="F5" s="20"/>
      <c r="G5" s="18"/>
      <c r="H5" s="132"/>
      <c r="I5" s="114">
        <f>SUM(B9)</f>
        <v>246.832</v>
      </c>
      <c r="J5" s="115" t="s">
        <v>49</v>
      </c>
      <c r="K5" s="185"/>
      <c r="L5" s="80"/>
      <c r="M5" s="191"/>
    </row>
    <row r="6" spans="1:13" ht="15" customHeight="1" thickBot="1">
      <c r="A6" s="21" t="s">
        <v>3</v>
      </c>
      <c r="B6" s="201">
        <v>90</v>
      </c>
      <c r="C6" s="61">
        <f>SUM(B6*D6*100%)</f>
        <v>1.98</v>
      </c>
      <c r="D6" s="220">
        <v>0.022</v>
      </c>
      <c r="E6" s="19">
        <f>SUM(A5*C6*C3)</f>
        <v>1.98</v>
      </c>
      <c r="F6" s="22"/>
      <c r="H6" s="192"/>
      <c r="I6" s="118">
        <f>SUM(I5-I8-I7)</f>
        <v>102.832</v>
      </c>
      <c r="J6" s="113" t="s">
        <v>77</v>
      </c>
      <c r="K6" s="214"/>
      <c r="L6" s="216"/>
      <c r="M6" s="191"/>
    </row>
    <row r="7" spans="1:13" ht="15" customHeight="1" thickBot="1">
      <c r="A7" s="21" t="s">
        <v>35</v>
      </c>
      <c r="B7" s="201">
        <v>54</v>
      </c>
      <c r="C7" s="61">
        <f>SUM(B7*D7*100%)</f>
        <v>1.188</v>
      </c>
      <c r="D7" s="220">
        <v>0.022</v>
      </c>
      <c r="E7" s="19">
        <f>SUM(A5*C7*C3)</f>
        <v>1.188</v>
      </c>
      <c r="F7" s="22"/>
      <c r="H7" s="192"/>
      <c r="I7" s="114">
        <f>SUM(B7)</f>
        <v>54</v>
      </c>
      <c r="J7" s="116" t="s">
        <v>46</v>
      </c>
      <c r="K7" s="214"/>
      <c r="L7" s="216"/>
      <c r="M7" s="191"/>
    </row>
    <row r="8" spans="1:13" ht="15" customHeight="1" thickBot="1">
      <c r="A8" s="23" t="s">
        <v>6</v>
      </c>
      <c r="B8" s="105">
        <f>SUM(B5*A5)+(B6*A5)+(B7*A5)</f>
        <v>246.832</v>
      </c>
      <c r="C8" s="96">
        <f>SUM(C5:C7)</f>
        <v>7.692607999999999</v>
      </c>
      <c r="D8" s="98"/>
      <c r="E8" s="25">
        <f>SUM(E5:E7)</f>
        <v>7.692607999999999</v>
      </c>
      <c r="F8" s="26">
        <f>SUM(E8/A5)</f>
        <v>7.692607999999999</v>
      </c>
      <c r="H8" s="131"/>
      <c r="I8" s="114">
        <f>SUM(B6)</f>
        <v>90</v>
      </c>
      <c r="J8" s="116" t="s">
        <v>47</v>
      </c>
      <c r="K8" s="214"/>
      <c r="L8" s="217"/>
      <c r="M8" s="193"/>
    </row>
    <row r="9" spans="1:13" ht="15" customHeight="1" thickBot="1">
      <c r="A9" s="21" t="s">
        <v>93</v>
      </c>
      <c r="B9" s="19">
        <f>SUM((B5+B6+B7)*A5)</f>
        <v>246.832</v>
      </c>
      <c r="C9" s="175">
        <v>250</v>
      </c>
      <c r="D9" s="224"/>
      <c r="E9" s="27">
        <f>SUM(E8/B8)</f>
        <v>0.03116535943475724</v>
      </c>
      <c r="F9" s="22"/>
      <c r="H9" s="194"/>
      <c r="I9" s="117">
        <f>SUM(E6:E7)</f>
        <v>3.168</v>
      </c>
      <c r="J9" s="113" t="s">
        <v>48</v>
      </c>
      <c r="K9" s="215"/>
      <c r="L9" s="213"/>
      <c r="M9" s="195"/>
    </row>
    <row r="10" spans="1:13" ht="15" customHeight="1" thickBot="1">
      <c r="A10" s="21" t="s">
        <v>5</v>
      </c>
      <c r="B10" s="19">
        <f>SUM(A5*B6)</f>
        <v>90</v>
      </c>
      <c r="C10" s="24"/>
      <c r="D10" s="100"/>
      <c r="E10" s="24"/>
      <c r="F10" s="22"/>
      <c r="H10" s="194"/>
      <c r="I10" s="206">
        <f>SUM(I6+I9)</f>
        <v>106</v>
      </c>
      <c r="J10" s="207"/>
      <c r="K10" s="187"/>
      <c r="L10" s="188"/>
      <c r="M10" s="78"/>
    </row>
    <row r="11" spans="1:13" ht="15" customHeight="1">
      <c r="A11" s="21" t="s">
        <v>36</v>
      </c>
      <c r="B11" s="19">
        <f>SUM(A5*B7)</f>
        <v>54</v>
      </c>
      <c r="C11" s="24"/>
      <c r="D11" s="100"/>
      <c r="E11" s="29"/>
      <c r="F11" s="22"/>
      <c r="H11" s="194"/>
      <c r="I11" s="199"/>
      <c r="J11" s="205"/>
      <c r="K11" s="192"/>
      <c r="L11" s="87"/>
      <c r="M11" s="78"/>
    </row>
    <row r="12" spans="1:16" ht="15" customHeight="1">
      <c r="A12" s="21" t="s">
        <v>52</v>
      </c>
      <c r="B12" s="19">
        <f>SUM(C5)</f>
        <v>4.524608</v>
      </c>
      <c r="C12" s="29" t="s">
        <v>94</v>
      </c>
      <c r="D12" s="100"/>
      <c r="E12" s="19"/>
      <c r="F12" s="22"/>
      <c r="H12" s="194"/>
      <c r="I12" s="241"/>
      <c r="J12" s="242"/>
      <c r="K12" s="189"/>
      <c r="L12" s="186"/>
      <c r="M12" s="250"/>
      <c r="O12" s="110"/>
      <c r="P12" s="110"/>
    </row>
    <row r="13" spans="1:13" ht="15" customHeight="1" thickBot="1">
      <c r="A13" s="30" t="s">
        <v>7</v>
      </c>
      <c r="B13" s="31">
        <f>SUM(B8-B10-B11-B12)</f>
        <v>98.307392</v>
      </c>
      <c r="C13" s="32"/>
      <c r="D13" s="103"/>
      <c r="E13" s="33"/>
      <c r="F13" s="34"/>
      <c r="H13" s="194"/>
      <c r="I13" s="246"/>
      <c r="J13" s="245"/>
      <c r="K13" s="189"/>
      <c r="L13" s="186"/>
      <c r="M13" s="250"/>
    </row>
    <row r="14" spans="8:13" ht="15" customHeight="1" thickBot="1">
      <c r="H14" s="194"/>
      <c r="K14" s="189"/>
      <c r="L14" s="186"/>
      <c r="M14" s="250"/>
    </row>
    <row r="15" spans="1:13" ht="15" customHeight="1" thickBot="1">
      <c r="A15" s="13" t="s">
        <v>79</v>
      </c>
      <c r="B15" s="108">
        <f>SUM(I22)</f>
        <v>95.99999999999999</v>
      </c>
      <c r="C15" s="36">
        <f>SUM(C3)</f>
        <v>1</v>
      </c>
      <c r="D15" s="223" t="s">
        <v>23</v>
      </c>
      <c r="E15" s="209"/>
      <c r="F15" s="14"/>
      <c r="H15" s="194"/>
      <c r="I15" s="110"/>
      <c r="J15" s="137"/>
      <c r="K15" s="198"/>
      <c r="L15" s="190"/>
      <c r="M15" s="196"/>
    </row>
    <row r="16" spans="1:13" ht="15" customHeight="1" thickBot="1">
      <c r="A16" s="16" t="s">
        <v>9</v>
      </c>
      <c r="B16" s="249" t="s">
        <v>4</v>
      </c>
      <c r="C16" s="249"/>
      <c r="D16" s="208"/>
      <c r="E16" s="210"/>
      <c r="F16" s="17" t="s">
        <v>0</v>
      </c>
      <c r="H16" s="194"/>
      <c r="I16" s="200" t="s">
        <v>54</v>
      </c>
      <c r="J16" s="119"/>
      <c r="K16" s="198"/>
      <c r="L16" s="194"/>
      <c r="M16" s="78"/>
    </row>
    <row r="17" spans="1:13" ht="15" customHeight="1" thickBot="1">
      <c r="A17" s="134">
        <v>1</v>
      </c>
      <c r="B17" s="244">
        <f>SUM(C21-(B18+B19)-(C18+C19))</f>
        <v>93.712</v>
      </c>
      <c r="C17" s="97">
        <f>SUM(B17*D17*100%)</f>
        <v>4.123328</v>
      </c>
      <c r="D17" s="221">
        <f>SUM(D5)</f>
        <v>0.044</v>
      </c>
      <c r="E17" s="120">
        <f>SUM(A17*C17*C15)</f>
        <v>4.123328</v>
      </c>
      <c r="F17" s="20"/>
      <c r="H17" s="77"/>
      <c r="I17" s="114">
        <f>SUM(B20)</f>
        <v>197.712</v>
      </c>
      <c r="J17" s="115" t="s">
        <v>45</v>
      </c>
      <c r="K17" s="76"/>
      <c r="L17" s="77"/>
      <c r="M17" s="76"/>
    </row>
    <row r="18" spans="1:13" ht="15" customHeight="1" thickBot="1">
      <c r="A18" s="21" t="s">
        <v>10</v>
      </c>
      <c r="B18" s="201">
        <v>60</v>
      </c>
      <c r="C18" s="61">
        <f>SUM(B18*D18*100%)</f>
        <v>1.3199999999999998</v>
      </c>
      <c r="D18" s="221">
        <f>SUM(D6)</f>
        <v>0.022</v>
      </c>
      <c r="E18" s="19">
        <f>SUM(A17*C18*C15)</f>
        <v>1.3199999999999998</v>
      </c>
      <c r="F18" s="22"/>
      <c r="H18" s="77"/>
      <c r="I18" s="118">
        <f>SUM(I17-I20-I19)</f>
        <v>93.71199999999999</v>
      </c>
      <c r="J18" s="113" t="s">
        <v>77</v>
      </c>
      <c r="K18" s="197"/>
      <c r="L18" s="77"/>
      <c r="M18" s="76"/>
    </row>
    <row r="19" spans="1:13" ht="15" customHeight="1" thickBot="1">
      <c r="A19" s="21" t="s">
        <v>38</v>
      </c>
      <c r="B19" s="201">
        <v>44</v>
      </c>
      <c r="C19" s="61">
        <f>SUM(B19*D19*100%)</f>
        <v>0.968</v>
      </c>
      <c r="D19" s="221">
        <f>SUM(D7)</f>
        <v>0.022</v>
      </c>
      <c r="E19" s="19">
        <f>SUM(A17*C19*C15)</f>
        <v>0.968</v>
      </c>
      <c r="F19" s="22"/>
      <c r="H19" s="77"/>
      <c r="I19" s="114">
        <f>SUM(B19)</f>
        <v>44</v>
      </c>
      <c r="J19" s="116" t="s">
        <v>46</v>
      </c>
      <c r="K19" s="76"/>
      <c r="L19" s="77"/>
      <c r="M19" s="76"/>
    </row>
    <row r="20" spans="1:10" ht="15" customHeight="1" thickBot="1">
      <c r="A20" s="23" t="s">
        <v>6</v>
      </c>
      <c r="B20" s="105">
        <f>SUM(B17*A17)+(B18*A17)+(B19*A17)</f>
        <v>197.712</v>
      </c>
      <c r="C20" s="96">
        <f>SUM(C17:C19)</f>
        <v>6.411327999999999</v>
      </c>
      <c r="D20" s="225"/>
      <c r="E20" s="25">
        <f>SUM(E17:E19)</f>
        <v>6.411327999999999</v>
      </c>
      <c r="F20" s="26">
        <f>SUM(E20/A17)</f>
        <v>6.411327999999999</v>
      </c>
      <c r="I20" s="114">
        <f>SUM(B18)</f>
        <v>60</v>
      </c>
      <c r="J20" s="116" t="s">
        <v>47</v>
      </c>
    </row>
    <row r="21" spans="1:10" ht="15" customHeight="1" thickBot="1">
      <c r="A21" s="21" t="s">
        <v>93</v>
      </c>
      <c r="B21" s="19">
        <f>SUM((B17+B18+B19)*A17)</f>
        <v>197.712</v>
      </c>
      <c r="C21" s="175">
        <v>200</v>
      </c>
      <c r="D21" s="226"/>
      <c r="E21" s="27">
        <f>SUM(E20/C21)</f>
        <v>0.03205664</v>
      </c>
      <c r="F21" s="22"/>
      <c r="I21" s="117">
        <f>SUM(E18:E19)</f>
        <v>2.288</v>
      </c>
      <c r="J21" s="113" t="s">
        <v>48</v>
      </c>
    </row>
    <row r="22" spans="1:15" ht="15" customHeight="1" thickBot="1">
      <c r="A22" s="21" t="s">
        <v>5</v>
      </c>
      <c r="B22" s="19">
        <f>SUM(A17*B18)</f>
        <v>60</v>
      </c>
      <c r="E22" s="24"/>
      <c r="F22" s="22"/>
      <c r="I22" s="206">
        <f>SUM(I18+I21)</f>
        <v>95.99999999999999</v>
      </c>
      <c r="J22" s="207"/>
      <c r="O22" s="111"/>
    </row>
    <row r="23" spans="1:15" ht="15" customHeight="1">
      <c r="A23" s="21" t="s">
        <v>36</v>
      </c>
      <c r="B23" s="19">
        <f>SUM(A17*B19)</f>
        <v>44</v>
      </c>
      <c r="C23" s="24"/>
      <c r="D23" s="100"/>
      <c r="E23" s="29"/>
      <c r="F23" s="22"/>
      <c r="I23" s="199"/>
      <c r="J23" s="205"/>
      <c r="N23" s="76"/>
      <c r="O23" s="111"/>
    </row>
    <row r="24" spans="1:16" ht="15" customHeight="1">
      <c r="A24" s="21" t="s">
        <v>52</v>
      </c>
      <c r="B24" s="19">
        <f>SUM(C17)</f>
        <v>4.123328</v>
      </c>
      <c r="C24" s="29" t="s">
        <v>94</v>
      </c>
      <c r="D24" s="100"/>
      <c r="E24" s="19"/>
      <c r="F24" s="22"/>
      <c r="I24" s="241"/>
      <c r="J24" s="242"/>
      <c r="K24" s="76"/>
      <c r="L24" s="77"/>
      <c r="M24" s="76"/>
      <c r="N24" s="76"/>
      <c r="O24" s="111"/>
      <c r="P24" s="110"/>
    </row>
    <row r="25" spans="1:14" ht="15" customHeight="1" thickBot="1">
      <c r="A25" s="30" t="s">
        <v>7</v>
      </c>
      <c r="B25" s="31">
        <f>SUM(B20-B22-B23-B24)</f>
        <v>89.58867199999999</v>
      </c>
      <c r="C25" s="32"/>
      <c r="D25" s="103"/>
      <c r="E25" s="33"/>
      <c r="F25" s="34"/>
      <c r="I25" s="246"/>
      <c r="J25" s="245"/>
      <c r="K25" s="256"/>
      <c r="L25" s="256"/>
      <c r="M25" s="78"/>
      <c r="N25" s="76"/>
    </row>
    <row r="26" spans="11:14" ht="15" customHeight="1" thickBot="1">
      <c r="K26" s="256"/>
      <c r="L26" s="256"/>
      <c r="M26" s="78"/>
      <c r="N26" s="76"/>
    </row>
    <row r="27" spans="1:14" ht="15" customHeight="1" thickBot="1">
      <c r="A27" s="13" t="s">
        <v>80</v>
      </c>
      <c r="B27" s="95">
        <f>SUM(B3*2)</f>
        <v>212</v>
      </c>
      <c r="C27" s="36">
        <f>SUM(C3)</f>
        <v>1</v>
      </c>
      <c r="D27" s="223" t="s">
        <v>23</v>
      </c>
      <c r="E27" s="209"/>
      <c r="F27" s="251" t="s">
        <v>22</v>
      </c>
      <c r="I27" s="111"/>
      <c r="J27" s="199"/>
      <c r="K27" s="74"/>
      <c r="L27" s="80"/>
      <c r="M27" s="78"/>
      <c r="N27" s="76"/>
    </row>
    <row r="28" spans="1:14" ht="15" customHeight="1" thickBot="1">
      <c r="A28" s="16" t="s">
        <v>11</v>
      </c>
      <c r="B28" s="249" t="s">
        <v>4</v>
      </c>
      <c r="C28" s="249"/>
      <c r="D28" s="208"/>
      <c r="E28" s="210"/>
      <c r="F28" s="252"/>
      <c r="I28" s="200" t="s">
        <v>53</v>
      </c>
      <c r="J28" s="119"/>
      <c r="K28" s="75"/>
      <c r="L28" s="82"/>
      <c r="M28" s="78"/>
      <c r="N28" s="76"/>
    </row>
    <row r="29" spans="1:14" ht="15" customHeight="1" thickBot="1">
      <c r="A29" s="135">
        <v>1</v>
      </c>
      <c r="B29" s="244">
        <f>SUM(C33-(B30+B31)-(C30+C31))</f>
        <v>205.664</v>
      </c>
      <c r="C29" s="97">
        <f>SUM(B29*D29*100%)</f>
        <v>9.049216</v>
      </c>
      <c r="D29" s="221">
        <f>SUM(D5)</f>
        <v>0.044</v>
      </c>
      <c r="E29" s="61">
        <f>SUM(A29*C29*C27)</f>
        <v>9.049216</v>
      </c>
      <c r="F29" s="20"/>
      <c r="I29" s="114">
        <f>SUM(B33)</f>
        <v>493.664</v>
      </c>
      <c r="J29" s="115" t="s">
        <v>45</v>
      </c>
      <c r="K29" s="75"/>
      <c r="L29" s="82"/>
      <c r="M29" s="78"/>
      <c r="N29" s="76"/>
    </row>
    <row r="30" spans="1:14" ht="15" customHeight="1" thickBot="1">
      <c r="A30" s="21" t="s">
        <v>12</v>
      </c>
      <c r="B30" s="202">
        <f>SUM(B6*2)</f>
        <v>180</v>
      </c>
      <c r="C30" s="61">
        <f>SUM(B30*D30*100%)</f>
        <v>3.96</v>
      </c>
      <c r="D30" s="221">
        <f>SUM(D6)</f>
        <v>0.022</v>
      </c>
      <c r="E30" s="61">
        <f>SUM(A29*C30*C27)</f>
        <v>3.96</v>
      </c>
      <c r="F30" s="22"/>
      <c r="I30" s="118">
        <f>SUM(I29-I32-I31)</f>
        <v>205.664</v>
      </c>
      <c r="J30" s="113" t="s">
        <v>77</v>
      </c>
      <c r="K30" s="76"/>
      <c r="L30" s="77"/>
      <c r="M30" s="76"/>
      <c r="N30" s="76"/>
    </row>
    <row r="31" spans="1:14" ht="15" customHeight="1" thickBot="1">
      <c r="A31" s="21" t="s">
        <v>39</v>
      </c>
      <c r="B31" s="202">
        <f>SUM(B7*2)</f>
        <v>108</v>
      </c>
      <c r="C31" s="61">
        <f>SUM(B31*D31*100%)</f>
        <v>2.376</v>
      </c>
      <c r="D31" s="221">
        <f>SUM(D7)</f>
        <v>0.022</v>
      </c>
      <c r="E31" s="61">
        <f>SUM(A29*C31*C27)</f>
        <v>2.376</v>
      </c>
      <c r="F31" s="22"/>
      <c r="I31" s="114">
        <f>SUM(B31)</f>
        <v>108</v>
      </c>
      <c r="J31" s="116" t="s">
        <v>46</v>
      </c>
      <c r="K31" s="76"/>
      <c r="L31" s="77"/>
      <c r="M31" s="76"/>
      <c r="N31" s="87"/>
    </row>
    <row r="32" spans="1:14" ht="15" customHeight="1" thickBot="1">
      <c r="A32" s="23" t="s">
        <v>6</v>
      </c>
      <c r="B32" s="105">
        <f>SUM(B29*A29)+(B30*A29)+(B31*A29)</f>
        <v>493.664</v>
      </c>
      <c r="C32" s="98">
        <f>SUM(C29:C31)</f>
        <v>15.385215999999998</v>
      </c>
      <c r="D32" s="98"/>
      <c r="E32" s="99">
        <f>SUM(E29:E31)</f>
        <v>15.385215999999998</v>
      </c>
      <c r="F32" s="26">
        <f>SUM(E32/A29/3)</f>
        <v>5.128405333333332</v>
      </c>
      <c r="I32" s="114">
        <f>SUM(B30)</f>
        <v>180</v>
      </c>
      <c r="J32" s="116" t="s">
        <v>47</v>
      </c>
      <c r="K32" s="85"/>
      <c r="L32" s="86"/>
      <c r="M32" s="86"/>
      <c r="N32" s="87"/>
    </row>
    <row r="33" spans="1:14" ht="15" customHeight="1" thickBot="1">
      <c r="A33" s="21" t="s">
        <v>93</v>
      </c>
      <c r="B33" s="19">
        <f>SUM((B29+B30+B31)*A29)</f>
        <v>493.664</v>
      </c>
      <c r="C33" s="177">
        <f>SUM(C9*2)</f>
        <v>500</v>
      </c>
      <c r="D33" s="212"/>
      <c r="E33" s="27">
        <f>SUM(E32/C33)</f>
        <v>0.030770431999999997</v>
      </c>
      <c r="F33" s="22"/>
      <c r="G33" s="107"/>
      <c r="I33" s="117">
        <f>SUM(E30:E31)</f>
        <v>6.336</v>
      </c>
      <c r="J33" s="113" t="s">
        <v>48</v>
      </c>
      <c r="K33" s="88"/>
      <c r="L33" s="89"/>
      <c r="M33" s="88"/>
      <c r="N33" s="90"/>
    </row>
    <row r="34" spans="1:14" ht="15" customHeight="1" thickBot="1">
      <c r="A34" s="21" t="s">
        <v>5</v>
      </c>
      <c r="B34" s="19">
        <f>SUM(A29*B30)</f>
        <v>180</v>
      </c>
      <c r="C34" s="176"/>
      <c r="D34" s="227"/>
      <c r="E34" s="24"/>
      <c r="F34" s="22"/>
      <c r="I34" s="206">
        <f>SUM(I30+I33)</f>
        <v>212</v>
      </c>
      <c r="J34" s="207"/>
      <c r="K34" s="89"/>
      <c r="L34" s="89"/>
      <c r="M34" s="89"/>
      <c r="N34" s="90"/>
    </row>
    <row r="35" spans="1:14" ht="15" customHeight="1">
      <c r="A35" s="21" t="s">
        <v>36</v>
      </c>
      <c r="B35" s="19">
        <f>SUM(A29*B31)</f>
        <v>108</v>
      </c>
      <c r="C35" s="24"/>
      <c r="D35" s="100"/>
      <c r="E35" s="29"/>
      <c r="F35" s="22"/>
      <c r="I35" s="112"/>
      <c r="J35" s="205"/>
      <c r="K35" s="89"/>
      <c r="L35" s="89"/>
      <c r="M35" s="89"/>
      <c r="N35" s="90"/>
    </row>
    <row r="36" spans="1:16" ht="15" customHeight="1">
      <c r="A36" s="21" t="s">
        <v>52</v>
      </c>
      <c r="B36" s="19">
        <f>SUM(C29)</f>
        <v>9.049216</v>
      </c>
      <c r="C36" s="29" t="s">
        <v>94</v>
      </c>
      <c r="D36" s="100"/>
      <c r="E36" s="19"/>
      <c r="F36" s="22"/>
      <c r="I36" s="241"/>
      <c r="J36" s="242"/>
      <c r="K36" s="89"/>
      <c r="L36" s="89"/>
      <c r="M36" s="89"/>
      <c r="N36" s="90"/>
      <c r="O36" s="112"/>
      <c r="P36" s="110"/>
    </row>
    <row r="37" spans="1:16" ht="15" customHeight="1" thickBot="1">
      <c r="A37" s="30" t="s">
        <v>7</v>
      </c>
      <c r="B37" s="31">
        <f>SUM(B32-B34-B35-B36)</f>
        <v>196.614784</v>
      </c>
      <c r="C37" s="32"/>
      <c r="D37" s="103"/>
      <c r="E37" s="33"/>
      <c r="F37" s="34"/>
      <c r="I37" s="246"/>
      <c r="J37" s="245"/>
      <c r="K37" s="89"/>
      <c r="L37" s="89"/>
      <c r="M37" s="89"/>
      <c r="N37" s="90"/>
      <c r="O37" s="112"/>
      <c r="P37" s="110"/>
    </row>
    <row r="38" spans="9:16" ht="15" customHeight="1" thickBot="1">
      <c r="I38" s="88"/>
      <c r="J38" s="89"/>
      <c r="K38" s="89"/>
      <c r="L38" s="89"/>
      <c r="M38" s="89"/>
      <c r="N38" s="90"/>
      <c r="O38" s="112"/>
      <c r="P38" s="110"/>
    </row>
    <row r="39" spans="1:16" ht="15" customHeight="1" thickBot="1">
      <c r="A39" s="13" t="s">
        <v>81</v>
      </c>
      <c r="B39" s="95">
        <f>SUM(B41)</f>
        <v>150</v>
      </c>
      <c r="C39" s="162">
        <f>SUM(C3)</f>
        <v>1</v>
      </c>
      <c r="D39" s="223" t="s">
        <v>23</v>
      </c>
      <c r="E39" s="209"/>
      <c r="F39" s="14"/>
      <c r="I39" s="200" t="s">
        <v>90</v>
      </c>
      <c r="J39" s="119"/>
      <c r="K39" s="89"/>
      <c r="L39" s="89"/>
      <c r="M39" s="89"/>
      <c r="N39" s="90"/>
      <c r="O39" s="112"/>
      <c r="P39" s="110"/>
    </row>
    <row r="40" spans="1:16" ht="15" customHeight="1" thickBot="1">
      <c r="A40" s="16" t="s">
        <v>42</v>
      </c>
      <c r="B40" s="249" t="s">
        <v>4</v>
      </c>
      <c r="C40" s="249"/>
      <c r="D40" s="208"/>
      <c r="E40" s="210">
        <f>SUM(E4)</f>
        <v>0</v>
      </c>
      <c r="F40" s="17" t="s">
        <v>0</v>
      </c>
      <c r="I40" s="114">
        <f>SUM(B44)</f>
        <v>150</v>
      </c>
      <c r="J40" s="115" t="s">
        <v>49</v>
      </c>
      <c r="K40" s="89"/>
      <c r="L40" s="89"/>
      <c r="M40" s="89"/>
      <c r="N40" s="90"/>
      <c r="O40" s="112"/>
      <c r="P40" s="110"/>
    </row>
    <row r="41" spans="1:16" ht="15" customHeight="1" thickBot="1">
      <c r="A41" s="134">
        <v>1</v>
      </c>
      <c r="B41" s="243">
        <f>SUM(C45-(B42+B43)-(C42+C43))</f>
        <v>150</v>
      </c>
      <c r="C41" s="97">
        <f>SUM(B39*D41*100%)</f>
        <v>6.6</v>
      </c>
      <c r="D41" s="221">
        <v>0.044</v>
      </c>
      <c r="E41" s="61">
        <f>SUM(A41*C41*C39)</f>
        <v>6.6</v>
      </c>
      <c r="F41" s="20">
        <f>SUM(E41/A41)</f>
        <v>6.6</v>
      </c>
      <c r="I41" s="118">
        <f>SUM(I40-I43-I42)</f>
        <v>150</v>
      </c>
      <c r="J41" s="113" t="s">
        <v>77</v>
      </c>
      <c r="K41" s="89"/>
      <c r="L41" s="89"/>
      <c r="M41" s="89"/>
      <c r="N41" s="90"/>
      <c r="O41" s="112"/>
      <c r="P41" s="110"/>
    </row>
    <row r="42" spans="1:16" ht="15" customHeight="1" thickBot="1">
      <c r="A42" s="21" t="s">
        <v>3</v>
      </c>
      <c r="B42" s="203">
        <v>0</v>
      </c>
      <c r="C42" s="61">
        <f>SUM(B42*D42*100%)</f>
        <v>0</v>
      </c>
      <c r="D42" s="221">
        <f>SUM(D6)</f>
        <v>0.022</v>
      </c>
      <c r="E42" s="61">
        <f>SUM(A41*C42*C39)</f>
        <v>0</v>
      </c>
      <c r="F42" s="22"/>
      <c r="I42" s="114">
        <f>SUM(B43)</f>
        <v>0</v>
      </c>
      <c r="J42" s="116" t="s">
        <v>46</v>
      </c>
      <c r="K42" s="89"/>
      <c r="L42" s="89"/>
      <c r="M42" s="89"/>
      <c r="N42" s="90"/>
      <c r="O42" s="112"/>
      <c r="P42" s="110"/>
    </row>
    <row r="43" spans="1:16" ht="15" customHeight="1" thickBot="1">
      <c r="A43" s="21" t="s">
        <v>35</v>
      </c>
      <c r="B43" s="203">
        <v>0</v>
      </c>
      <c r="C43" s="61">
        <f>SUM(B43*D43*100%)</f>
        <v>0</v>
      </c>
      <c r="D43" s="221">
        <f>SUM(D7)</f>
        <v>0.022</v>
      </c>
      <c r="E43" s="61">
        <f>SUM(A41*C43*C39)</f>
        <v>0</v>
      </c>
      <c r="F43" s="22"/>
      <c r="I43" s="114">
        <f>SUM(B42)</f>
        <v>0</v>
      </c>
      <c r="J43" s="116" t="s">
        <v>47</v>
      </c>
      <c r="K43" s="89"/>
      <c r="L43" s="89"/>
      <c r="M43" s="89"/>
      <c r="N43" s="90"/>
      <c r="O43" s="112"/>
      <c r="P43" s="110"/>
    </row>
    <row r="44" spans="1:16" ht="15" customHeight="1" thickBot="1">
      <c r="A44" s="23" t="s">
        <v>6</v>
      </c>
      <c r="B44" s="105">
        <f>SUM(B41)+(B42*A41)+(B43*A41)</f>
        <v>150</v>
      </c>
      <c r="C44" s="98">
        <f>SUM(C41:C43)</f>
        <v>6.6</v>
      </c>
      <c r="D44" s="98"/>
      <c r="E44" s="99">
        <f>SUM(E41:E43)</f>
        <v>6.6</v>
      </c>
      <c r="F44" s="26">
        <f>SUM(E44/A41)</f>
        <v>6.6</v>
      </c>
      <c r="I44" s="117">
        <f>SUM(E42:E43)</f>
        <v>0</v>
      </c>
      <c r="J44" s="113" t="s">
        <v>48</v>
      </c>
      <c r="K44" s="89"/>
      <c r="L44" s="89"/>
      <c r="M44" s="89"/>
      <c r="N44" s="90"/>
      <c r="O44" s="112"/>
      <c r="P44" s="110"/>
    </row>
    <row r="45" spans="1:16" ht="15" customHeight="1" thickBot="1">
      <c r="A45" s="21" t="s">
        <v>93</v>
      </c>
      <c r="B45" s="19">
        <f>SUM((B41+B42+B43)*A41)</f>
        <v>150</v>
      </c>
      <c r="C45" s="175">
        <v>150</v>
      </c>
      <c r="D45" s="100"/>
      <c r="E45" s="101">
        <f>SUM(E44/B45)</f>
        <v>0.044</v>
      </c>
      <c r="F45" s="22"/>
      <c r="I45" s="206">
        <f>SUM(I41+I44)</f>
        <v>150</v>
      </c>
      <c r="J45" s="207"/>
      <c r="K45" s="89"/>
      <c r="L45" s="91"/>
      <c r="M45" s="89"/>
      <c r="N45" s="90"/>
      <c r="O45" s="110"/>
      <c r="P45" s="110"/>
    </row>
    <row r="46" spans="1:16" ht="15" customHeight="1">
      <c r="A46" s="21" t="s">
        <v>5</v>
      </c>
      <c r="B46" s="19">
        <f>SUM(A41*B42)</f>
        <v>0</v>
      </c>
      <c r="C46" s="100"/>
      <c r="D46" s="100"/>
      <c r="E46" s="100"/>
      <c r="F46" s="22"/>
      <c r="K46" s="89"/>
      <c r="L46" s="89"/>
      <c r="M46" s="89"/>
      <c r="O46" s="110"/>
      <c r="P46" s="110"/>
    </row>
    <row r="47" spans="1:16" ht="15" customHeight="1">
      <c r="A47" s="21" t="s">
        <v>36</v>
      </c>
      <c r="B47" s="19">
        <f>SUM(A41*B43)</f>
        <v>0</v>
      </c>
      <c r="C47" s="100"/>
      <c r="D47" s="100"/>
      <c r="E47" s="102"/>
      <c r="F47" s="22"/>
      <c r="I47" s="241"/>
      <c r="J47" s="242"/>
      <c r="O47" s="110"/>
      <c r="P47" s="110"/>
    </row>
    <row r="48" spans="1:16" ht="15" customHeight="1">
      <c r="A48" s="21" t="s">
        <v>52</v>
      </c>
      <c r="B48" s="19">
        <f>SUM(C41)</f>
        <v>6.6</v>
      </c>
      <c r="C48" s="29" t="s">
        <v>94</v>
      </c>
      <c r="D48" s="100"/>
      <c r="E48" s="61"/>
      <c r="F48" s="22"/>
      <c r="I48" s="246"/>
      <c r="J48" s="245"/>
      <c r="O48" s="110"/>
      <c r="P48" s="110"/>
    </row>
    <row r="49" spans="1:16" ht="15" customHeight="1" thickBot="1">
      <c r="A49" s="30" t="s">
        <v>7</v>
      </c>
      <c r="B49" s="31">
        <f>SUM(B44-B46-B47-B48)</f>
        <v>143.4</v>
      </c>
      <c r="C49" s="103"/>
      <c r="D49" s="103"/>
      <c r="E49" s="104"/>
      <c r="F49" s="34"/>
      <c r="O49" s="110"/>
      <c r="P49" s="110"/>
    </row>
    <row r="50" ht="15" customHeight="1" thickBot="1"/>
    <row r="51" spans="1:6" ht="15" customHeight="1" thickBot="1">
      <c r="A51" s="13" t="s">
        <v>81</v>
      </c>
      <c r="B51" s="108">
        <f>SUM(I58)</f>
        <v>15.9</v>
      </c>
      <c r="C51" s="62">
        <v>1</v>
      </c>
      <c r="D51" s="223" t="s">
        <v>23</v>
      </c>
      <c r="E51" s="209"/>
      <c r="F51" s="14"/>
    </row>
    <row r="52" spans="1:10" ht="15" customHeight="1" thickBot="1">
      <c r="A52" s="16" t="s">
        <v>84</v>
      </c>
      <c r="B52" s="249" t="s">
        <v>4</v>
      </c>
      <c r="C52" s="249"/>
      <c r="D52" s="218"/>
      <c r="E52" s="211"/>
      <c r="F52" s="17" t="s">
        <v>0</v>
      </c>
      <c r="I52" s="200" t="s">
        <v>89</v>
      </c>
      <c r="J52" s="119"/>
    </row>
    <row r="53" spans="1:10" ht="15" customHeight="1" thickBot="1">
      <c r="A53" s="134">
        <v>1</v>
      </c>
      <c r="B53" s="243">
        <f>SUM(C57-(B54+B55)-(C54+C55))</f>
        <v>15.369799999999998</v>
      </c>
      <c r="C53" s="61">
        <f>SUM(B53*D53*100%)</f>
        <v>0.6762711999999999</v>
      </c>
      <c r="D53" s="221">
        <f>SUM(D5)</f>
        <v>0.044</v>
      </c>
      <c r="E53" s="120">
        <f>SUM(A53*C53*C51)</f>
        <v>0.6762711999999999</v>
      </c>
      <c r="F53" s="20"/>
      <c r="I53" s="114">
        <f>SUM(B57)</f>
        <v>39.4698</v>
      </c>
      <c r="J53" s="115" t="s">
        <v>49</v>
      </c>
    </row>
    <row r="54" spans="1:10" ht="15" customHeight="1" thickBot="1">
      <c r="A54" s="21" t="s">
        <v>3</v>
      </c>
      <c r="B54" s="240">
        <v>24</v>
      </c>
      <c r="C54" s="61">
        <f>SUM(B54*D54*100%)</f>
        <v>0.528</v>
      </c>
      <c r="D54" s="221">
        <f>SUM(D6)</f>
        <v>0.022</v>
      </c>
      <c r="E54" s="19">
        <f>SUM(A53*C54*C51)</f>
        <v>0.528</v>
      </c>
      <c r="F54" s="22"/>
      <c r="I54" s="118">
        <f>SUM(I53-I56-I55)</f>
        <v>15.3698</v>
      </c>
      <c r="J54" s="113" t="s">
        <v>77</v>
      </c>
    </row>
    <row r="55" spans="1:10" ht="15" customHeight="1" thickBot="1">
      <c r="A55" s="21" t="s">
        <v>35</v>
      </c>
      <c r="B55" s="240">
        <v>0.1</v>
      </c>
      <c r="C55" s="61">
        <f>SUM(B55*D55*100%)</f>
        <v>0.0022</v>
      </c>
      <c r="D55" s="221">
        <f>SUM(D7)</f>
        <v>0.022</v>
      </c>
      <c r="E55" s="19">
        <f>SUM(A53*C55*C51)</f>
        <v>0.0022</v>
      </c>
      <c r="F55" s="22"/>
      <c r="I55" s="114">
        <f>SUM(B55)</f>
        <v>0.1</v>
      </c>
      <c r="J55" s="116" t="s">
        <v>46</v>
      </c>
    </row>
    <row r="56" spans="1:10" ht="15" customHeight="1" thickBot="1">
      <c r="A56" s="23" t="s">
        <v>6</v>
      </c>
      <c r="B56" s="105">
        <f>SUM(B53*A53)+(B54*A53)+(B55*A53)</f>
        <v>39.4698</v>
      </c>
      <c r="C56" s="96">
        <f>SUM(C53:C55)</f>
        <v>1.2064712</v>
      </c>
      <c r="D56" s="98"/>
      <c r="E56" s="25">
        <f>SUM(E53:E55)</f>
        <v>1.2064712</v>
      </c>
      <c r="F56" s="26">
        <f>SUM(E56/A53)</f>
        <v>1.2064712</v>
      </c>
      <c r="I56" s="114">
        <f>SUM(B54)</f>
        <v>24</v>
      </c>
      <c r="J56" s="116" t="s">
        <v>47</v>
      </c>
    </row>
    <row r="57" spans="1:10" ht="15" customHeight="1" thickBot="1">
      <c r="A57" s="21" t="s">
        <v>44</v>
      </c>
      <c r="B57" s="19">
        <f>SUM((B53+B54+B55)*A53)</f>
        <v>39.4698</v>
      </c>
      <c r="C57" s="175">
        <v>40</v>
      </c>
      <c r="D57" s="224"/>
      <c r="E57" s="27">
        <f>SUM(E56/B56)</f>
        <v>0.030566944854040302</v>
      </c>
      <c r="F57" s="22"/>
      <c r="I57" s="117">
        <f>SUM(E54:E55)</f>
        <v>0.5302</v>
      </c>
      <c r="J57" s="113" t="s">
        <v>48</v>
      </c>
    </row>
    <row r="58" spans="1:10" ht="15" customHeight="1" thickBot="1">
      <c r="A58" s="21" t="s">
        <v>5</v>
      </c>
      <c r="B58" s="19">
        <f>SUM(A53*B54)</f>
        <v>24</v>
      </c>
      <c r="C58" s="24"/>
      <c r="D58" s="100"/>
      <c r="E58" s="24"/>
      <c r="F58" s="22"/>
      <c r="I58" s="206">
        <f>SUM(I54+I57)</f>
        <v>15.9</v>
      </c>
      <c r="J58" s="207"/>
    </row>
    <row r="59" spans="1:6" ht="15" customHeight="1">
      <c r="A59" s="21" t="s">
        <v>36</v>
      </c>
      <c r="B59" s="19">
        <f>SUM(A53*B55)</f>
        <v>0.1</v>
      </c>
      <c r="C59" s="24"/>
      <c r="D59" s="100"/>
      <c r="E59" s="29"/>
      <c r="F59" s="22"/>
    </row>
    <row r="60" spans="1:6" ht="15" customHeight="1">
      <c r="A60" s="21" t="s">
        <v>52</v>
      </c>
      <c r="B60" s="19">
        <f>SUM(E56)</f>
        <v>1.2064712</v>
      </c>
      <c r="C60" s="24"/>
      <c r="D60" s="100"/>
      <c r="E60" s="19"/>
      <c r="F60" s="22"/>
    </row>
    <row r="61" spans="1:6" ht="15" customHeight="1" thickBot="1">
      <c r="A61" s="30" t="s">
        <v>7</v>
      </c>
      <c r="B61" s="31">
        <f>SUM(B56-B58-B59-B60)</f>
        <v>14.1633288</v>
      </c>
      <c r="C61" s="32"/>
      <c r="D61" s="103"/>
      <c r="E61" s="33"/>
      <c r="F61" s="34"/>
    </row>
    <row r="62" ht="15" customHeight="1">
      <c r="B62" s="219"/>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sheetProtection password="CAD9" sheet="1"/>
  <mergeCells count="13">
    <mergeCell ref="B52:C52"/>
    <mergeCell ref="B40:C40"/>
    <mergeCell ref="K25:K26"/>
    <mergeCell ref="H1:M1"/>
    <mergeCell ref="H2:M2"/>
    <mergeCell ref="B16:C16"/>
    <mergeCell ref="M12:M14"/>
    <mergeCell ref="B28:C28"/>
    <mergeCell ref="F27:F28"/>
    <mergeCell ref="B4:C4"/>
    <mergeCell ref="B2:G2"/>
    <mergeCell ref="H3:M3"/>
    <mergeCell ref="L25:L26"/>
  </mergeCells>
  <printOptions horizontalCentered="1" verticalCentered="1"/>
  <pageMargins left="0.2362204724409449" right="0.2362204724409449" top="0.4330708661417323" bottom="0.2362204724409449" header="0.2362204724409449" footer="0.15748031496062992"/>
  <pageSetup orientation="landscape" paperSize="9" r:id="rId3"/>
  <headerFooter>
    <oddHeader>&amp;CARCHERY South Australia - Club Membership Fee Calculator</oddHead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N62"/>
  <sheetViews>
    <sheetView zoomScalePageLayoutView="0" workbookViewId="0" topLeftCell="A1">
      <selection activeCell="E3" sqref="E3"/>
    </sheetView>
  </sheetViews>
  <sheetFormatPr defaultColWidth="31.00390625" defaultRowHeight="15"/>
  <cols>
    <col min="1" max="1" width="28.00390625" style="11" bestFit="1" customWidth="1"/>
    <col min="2" max="2" width="11.421875" style="11" customWidth="1"/>
    <col min="3" max="3" width="9.7109375" style="11" customWidth="1"/>
    <col min="4" max="4" width="9.421875" style="35" bestFit="1" customWidth="1"/>
    <col min="5" max="5" width="18.8515625" style="35" customWidth="1"/>
    <col min="6" max="6" width="2.7109375" style="11" customWidth="1"/>
    <col min="7" max="7" width="12.28125" style="2" customWidth="1"/>
    <col min="8" max="10" width="9.421875" style="1" customWidth="1"/>
    <col min="11" max="11" width="10.140625" style="2" customWidth="1"/>
    <col min="12" max="12" width="13.140625" style="1" customWidth="1"/>
    <col min="13" max="13" width="3.421875" style="1" customWidth="1"/>
    <col min="14" max="16384" width="31.00390625" style="1" customWidth="1"/>
  </cols>
  <sheetData>
    <row r="1" spans="1:5" ht="15.75" customHeight="1" thickBot="1">
      <c r="A1" s="259" t="s">
        <v>31</v>
      </c>
      <c r="B1" s="259"/>
      <c r="C1" s="9"/>
      <c r="D1" s="9"/>
      <c r="E1" s="10"/>
    </row>
    <row r="2" spans="1:12" ht="15.75" customHeight="1" thickBot="1">
      <c r="A2" s="12" t="s">
        <v>1</v>
      </c>
      <c r="B2" s="268" t="s">
        <v>27</v>
      </c>
      <c r="C2" s="268"/>
      <c r="D2" s="268"/>
      <c r="E2" s="268"/>
      <c r="F2" s="269"/>
      <c r="G2" s="260" t="s">
        <v>20</v>
      </c>
      <c r="H2" s="257" t="s">
        <v>15</v>
      </c>
      <c r="I2" s="257" t="s">
        <v>5</v>
      </c>
      <c r="J2" s="257" t="s">
        <v>36</v>
      </c>
      <c r="K2" s="257" t="s">
        <v>52</v>
      </c>
      <c r="L2" s="262" t="s">
        <v>43</v>
      </c>
    </row>
    <row r="3" spans="1:12" s="3" customFormat="1" ht="15" customHeight="1" thickBot="1">
      <c r="A3" s="13" t="s">
        <v>24</v>
      </c>
      <c r="B3" s="108">
        <f>SUM('Club Single Fee calculator'!I10)</f>
        <v>106</v>
      </c>
      <c r="C3" s="184">
        <f>SUM('Club Single Fee calculator'!C3)</f>
        <v>1</v>
      </c>
      <c r="D3" s="209"/>
      <c r="E3" s="14"/>
      <c r="F3" s="15"/>
      <c r="G3" s="261"/>
      <c r="H3" s="258"/>
      <c r="I3" s="258"/>
      <c r="J3" s="258"/>
      <c r="K3" s="258"/>
      <c r="L3" s="263"/>
    </row>
    <row r="4" spans="1:12" s="4" customFormat="1" ht="15" customHeight="1" thickBot="1">
      <c r="A4" s="16" t="s">
        <v>18</v>
      </c>
      <c r="B4" s="249" t="s">
        <v>4</v>
      </c>
      <c r="C4" s="249"/>
      <c r="D4" s="210"/>
      <c r="E4" s="17" t="s">
        <v>0</v>
      </c>
      <c r="F4" s="18"/>
      <c r="G4" s="38" t="s">
        <v>18</v>
      </c>
      <c r="H4" s="39">
        <f>SUM(B8)</f>
        <v>4500</v>
      </c>
      <c r="I4" s="40">
        <f>SUM(B10)</f>
        <v>1620</v>
      </c>
      <c r="J4" s="40">
        <f>SUM(B11)</f>
        <v>972</v>
      </c>
      <c r="K4" s="41">
        <f>SUM(D8)</f>
        <v>138.466944</v>
      </c>
      <c r="L4" s="42">
        <f>SUM(B13)</f>
        <v>1826.557056</v>
      </c>
    </row>
    <row r="5" spans="1:12" s="4" customFormat="1" ht="15" customHeight="1" thickBot="1">
      <c r="A5" s="182">
        <f>SUM(I23)</f>
        <v>18</v>
      </c>
      <c r="B5" s="123">
        <f>SUM('Club Single Fee calculator'!B5)</f>
        <v>102.832</v>
      </c>
      <c r="C5" s="97">
        <f>SUM('Club Single Fee calculator'!C5)</f>
        <v>4.524608</v>
      </c>
      <c r="D5" s="120">
        <f>SUM(A5*C5*C3)</f>
        <v>81.442944</v>
      </c>
      <c r="E5" s="20"/>
      <c r="F5" s="18"/>
      <c r="G5" s="38" t="s">
        <v>13</v>
      </c>
      <c r="H5" s="39">
        <f>SUM(B20)</f>
        <v>600</v>
      </c>
      <c r="I5" s="40">
        <f>SUM(B22)</f>
        <v>180</v>
      </c>
      <c r="J5" s="40">
        <f>SUM(B23)</f>
        <v>132</v>
      </c>
      <c r="K5" s="41">
        <f>SUM(D20)</f>
        <v>19.233984</v>
      </c>
      <c r="L5" s="42">
        <f>SUM(B25)</f>
        <v>275.630016</v>
      </c>
    </row>
    <row r="6" spans="1:12" ht="15" customHeight="1" thickBot="1">
      <c r="A6" s="21" t="s">
        <v>3</v>
      </c>
      <c r="B6" s="124">
        <f>SUM('Club Single Fee calculator'!B6)</f>
        <v>90</v>
      </c>
      <c r="C6" s="97">
        <f>SUM('Club Single Fee calculator'!C6)</f>
        <v>1.98</v>
      </c>
      <c r="D6" s="19">
        <f>SUM(A5*C6*C3)</f>
        <v>35.64</v>
      </c>
      <c r="E6" s="22"/>
      <c r="G6" s="43" t="s">
        <v>14</v>
      </c>
      <c r="H6" s="39">
        <f>SUM(B32)</f>
        <v>500</v>
      </c>
      <c r="I6" s="40">
        <f>SUM(B34)</f>
        <v>180</v>
      </c>
      <c r="J6" s="40">
        <f>SUM(B35)</f>
        <v>108</v>
      </c>
      <c r="K6" s="41">
        <f>SUM(D32)</f>
        <v>15.385215999999998</v>
      </c>
      <c r="L6" s="42">
        <f>SUM(B37)</f>
        <v>202.950784</v>
      </c>
    </row>
    <row r="7" spans="1:12" ht="15" customHeight="1" thickBot="1">
      <c r="A7" s="21" t="s">
        <v>35</v>
      </c>
      <c r="B7" s="124">
        <f>SUM('Club Single Fee calculator'!B7)</f>
        <v>54</v>
      </c>
      <c r="C7" s="97">
        <f>SUM('Club Single Fee calculator'!C7)</f>
        <v>1.188</v>
      </c>
      <c r="D7" s="19">
        <f>SUM(A5*C7*C3)</f>
        <v>21.384</v>
      </c>
      <c r="E7" s="22"/>
      <c r="G7" s="43" t="s">
        <v>41</v>
      </c>
      <c r="H7" s="39">
        <f>SUM(B44)</f>
        <v>150</v>
      </c>
      <c r="I7" s="40">
        <f>SUM(B46)</f>
        <v>0</v>
      </c>
      <c r="J7" s="40">
        <f>SUM(B47)</f>
        <v>0</v>
      </c>
      <c r="K7" s="41">
        <f>SUM(D44)</f>
        <v>6.6</v>
      </c>
      <c r="L7" s="42">
        <f>SUM(B49)</f>
        <v>143.4</v>
      </c>
    </row>
    <row r="8" spans="1:12" ht="15" customHeight="1" thickBot="1">
      <c r="A8" s="23" t="s">
        <v>6</v>
      </c>
      <c r="B8" s="105">
        <f>SUM(C9*A5)</f>
        <v>4500</v>
      </c>
      <c r="C8" s="96">
        <f>SUM(C5:C7)</f>
        <v>7.692607999999999</v>
      </c>
      <c r="D8" s="25">
        <f>SUM(D5:D7)</f>
        <v>138.466944</v>
      </c>
      <c r="E8" s="26">
        <f>SUM(D8/A5)</f>
        <v>7.692608000000001</v>
      </c>
      <c r="G8" s="43" t="s">
        <v>91</v>
      </c>
      <c r="H8" s="39">
        <f>SUM(B56)</f>
        <v>0</v>
      </c>
      <c r="I8" s="40">
        <f>SUM(B58)</f>
        <v>0</v>
      </c>
      <c r="J8" s="40">
        <f>SUM(B59)</f>
        <v>0</v>
      </c>
      <c r="K8" s="41">
        <f>SUM(D56)</f>
        <v>0</v>
      </c>
      <c r="L8" s="42">
        <f>SUM(B50)</f>
        <v>0</v>
      </c>
    </row>
    <row r="9" spans="1:12" ht="15" customHeight="1" thickBot="1">
      <c r="A9" s="21" t="s">
        <v>93</v>
      </c>
      <c r="B9" s="19">
        <f>SUM(B5:B7)</f>
        <v>246.832</v>
      </c>
      <c r="C9" s="178">
        <f>SUM('Club Single Fee calculator'!C9)</f>
        <v>250</v>
      </c>
      <c r="D9" s="27">
        <f>SUM(C8/C9)</f>
        <v>0.030770431999999997</v>
      </c>
      <c r="E9" s="22"/>
      <c r="G9" s="44"/>
      <c r="H9" s="63">
        <f>SUM(H4:H7)</f>
        <v>5750</v>
      </c>
      <c r="I9" s="63">
        <f>SUM(I4:I7)</f>
        <v>1980</v>
      </c>
      <c r="J9" s="63">
        <f>SUM(J4:J7)</f>
        <v>1212</v>
      </c>
      <c r="K9" s="5">
        <f>SUM(K4:K8)</f>
        <v>179.68614399999998</v>
      </c>
      <c r="L9" s="204">
        <f>SUM(L4:L7)</f>
        <v>2448.5378560000004</v>
      </c>
    </row>
    <row r="10" spans="1:12" ht="15" customHeight="1">
      <c r="A10" s="21" t="s">
        <v>5</v>
      </c>
      <c r="B10" s="28">
        <f>SUM(A5*B6)</f>
        <v>1620</v>
      </c>
      <c r="C10" s="24"/>
      <c r="D10" s="24"/>
      <c r="E10" s="22"/>
      <c r="G10" s="46"/>
      <c r="H10" s="45"/>
      <c r="I10" s="45"/>
      <c r="J10" s="47" t="s">
        <v>92</v>
      </c>
      <c r="K10" s="48">
        <f>SUM(K9)/(A5+A17+(A29*3)+A41)</f>
        <v>7.187445759999999</v>
      </c>
      <c r="L10" s="67">
        <f>SUM(K9/H9)</f>
        <v>0.03124976417391304</v>
      </c>
    </row>
    <row r="11" spans="1:12" ht="15" customHeight="1">
      <c r="A11" s="21" t="s">
        <v>36</v>
      </c>
      <c r="B11" s="28">
        <f>SUM(A5*B7)</f>
        <v>972</v>
      </c>
      <c r="C11" s="24"/>
      <c r="D11" s="29"/>
      <c r="E11" s="22"/>
      <c r="G11" s="60"/>
      <c r="H11" s="50"/>
      <c r="I11" s="50"/>
      <c r="J11" s="51" t="s">
        <v>19</v>
      </c>
      <c r="K11" s="52">
        <f>SUM(A5+A17+A41+(A29*3))</f>
        <v>25</v>
      </c>
      <c r="L11" s="49"/>
    </row>
    <row r="12" spans="1:12" ht="15" customHeight="1">
      <c r="A12" s="21" t="s">
        <v>52</v>
      </c>
      <c r="B12" s="19">
        <f>SUM(D5)</f>
        <v>81.442944</v>
      </c>
      <c r="C12" s="29" t="s">
        <v>94</v>
      </c>
      <c r="D12" s="19"/>
      <c r="E12" s="22"/>
      <c r="G12" s="46"/>
      <c r="H12" s="45"/>
      <c r="I12" s="264" t="s">
        <v>51</v>
      </c>
      <c r="J12" s="264"/>
      <c r="K12" s="59" t="s">
        <v>21</v>
      </c>
      <c r="L12" s="49"/>
    </row>
    <row r="13" spans="1:12" ht="15" customHeight="1" thickBot="1">
      <c r="A13" s="30" t="s">
        <v>7</v>
      </c>
      <c r="B13" s="31">
        <f>SUM(B8-B10-B11-B12)</f>
        <v>1826.557056</v>
      </c>
      <c r="C13" s="32"/>
      <c r="D13" s="33"/>
      <c r="E13" s="34"/>
      <c r="G13" s="46"/>
      <c r="H13" s="45"/>
      <c r="I13" s="53" t="s">
        <v>16</v>
      </c>
      <c r="J13" s="54">
        <f>SUM(D5,D17,D29,D41)</f>
        <v>109.462144</v>
      </c>
      <c r="K13" s="5">
        <f>SUM(J13/K11)</f>
        <v>4.37848576</v>
      </c>
      <c r="L13" s="265" t="s">
        <v>34</v>
      </c>
    </row>
    <row r="14" spans="7:12" ht="15" customHeight="1" thickBot="1">
      <c r="G14" s="46"/>
      <c r="H14" s="45"/>
      <c r="I14" s="53" t="s">
        <v>37</v>
      </c>
      <c r="J14" s="54">
        <f>SUM(D7,D19,D31)</f>
        <v>26.664</v>
      </c>
      <c r="K14" s="5">
        <f>SUM(J14/K11)</f>
        <v>1.06656</v>
      </c>
      <c r="L14" s="265"/>
    </row>
    <row r="15" spans="1:12" ht="15" customHeight="1" thickBot="1">
      <c r="A15" s="13" t="s">
        <v>25</v>
      </c>
      <c r="B15" s="108">
        <f>SUM('Club Single Fee calculator'!I22)</f>
        <v>95.99999999999999</v>
      </c>
      <c r="C15" s="36">
        <f>SUM(C3)</f>
        <v>1</v>
      </c>
      <c r="D15" s="209"/>
      <c r="E15" s="14"/>
      <c r="G15" s="46"/>
      <c r="H15" s="45"/>
      <c r="I15" s="53" t="s">
        <v>17</v>
      </c>
      <c r="J15" s="54">
        <f>SUM(D6,D18,D30)</f>
        <v>43.56</v>
      </c>
      <c r="K15" s="5">
        <f>SUM(J15/K11)</f>
        <v>1.7424000000000002</v>
      </c>
      <c r="L15" s="265"/>
    </row>
    <row r="16" spans="1:12" ht="15" customHeight="1" thickBot="1">
      <c r="A16" s="16" t="s">
        <v>13</v>
      </c>
      <c r="B16" s="249" t="s">
        <v>4</v>
      </c>
      <c r="C16" s="249"/>
      <c r="D16" s="210"/>
      <c r="E16" s="17" t="s">
        <v>0</v>
      </c>
      <c r="G16" s="46"/>
      <c r="H16" s="45"/>
      <c r="I16" s="133" t="s">
        <v>52</v>
      </c>
      <c r="J16" s="266">
        <f>SUM(J13:J15)</f>
        <v>179.686144</v>
      </c>
      <c r="K16" s="64">
        <f>SUM(K13:K15)</f>
        <v>7.18744576</v>
      </c>
      <c r="L16" s="136" t="s">
        <v>56</v>
      </c>
    </row>
    <row r="17" spans="1:12" ht="15" customHeight="1" thickBot="1">
      <c r="A17" s="182">
        <f>SUM(I24)</f>
        <v>3</v>
      </c>
      <c r="B17" s="123">
        <f>SUM('Club Single Fee calculator'!B17)</f>
        <v>93.712</v>
      </c>
      <c r="C17" s="97">
        <f>SUM('Club Single Fee calculator'!C17)</f>
        <v>4.123328</v>
      </c>
      <c r="D17" s="120">
        <f>SUM(A17*C17*C15)</f>
        <v>12.369983999999999</v>
      </c>
      <c r="E17" s="20"/>
      <c r="G17" s="55"/>
      <c r="H17" s="56"/>
      <c r="I17" s="56"/>
      <c r="J17" s="267"/>
      <c r="K17" s="57"/>
      <c r="L17" s="58"/>
    </row>
    <row r="18" spans="1:5" ht="15" customHeight="1" thickBot="1">
      <c r="A18" s="21" t="s">
        <v>10</v>
      </c>
      <c r="B18" s="124">
        <f>SUM('Club Single Fee calculator'!B18)</f>
        <v>60</v>
      </c>
      <c r="C18" s="97">
        <f>SUM('Club Single Fee calculator'!C18)</f>
        <v>1.3199999999999998</v>
      </c>
      <c r="D18" s="19">
        <f>SUM(A17*C18*C15)</f>
        <v>3.9599999999999995</v>
      </c>
      <c r="E18" s="22"/>
    </row>
    <row r="19" spans="1:11" ht="15" customHeight="1" thickBot="1">
      <c r="A19" s="21" t="s">
        <v>38</v>
      </c>
      <c r="B19" s="124">
        <f>SUM('Club Single Fee calculator'!B19)</f>
        <v>44</v>
      </c>
      <c r="C19" s="97">
        <f>SUM('Club Single Fee calculator'!C19)</f>
        <v>0.968</v>
      </c>
      <c r="D19" s="19">
        <f>SUM(A17*C19*C15)</f>
        <v>2.904</v>
      </c>
      <c r="E19" s="22"/>
      <c r="H19" s="71" t="s">
        <v>32</v>
      </c>
      <c r="I19" s="72" t="s">
        <v>83</v>
      </c>
      <c r="J19" s="73"/>
      <c r="K19" s="68"/>
    </row>
    <row r="20" spans="1:11" ht="15" customHeight="1" thickBot="1">
      <c r="A20" s="23" t="s">
        <v>6</v>
      </c>
      <c r="B20" s="105">
        <f>SUM(C21*A17)</f>
        <v>600</v>
      </c>
      <c r="C20" s="96">
        <f>SUM(C17:C19)</f>
        <v>6.411327999999999</v>
      </c>
      <c r="D20" s="25">
        <f>SUM(D17:D19)</f>
        <v>19.233984</v>
      </c>
      <c r="E20" s="26">
        <f>SUM(D20/A17)</f>
        <v>6.411328</v>
      </c>
      <c r="H20" s="65">
        <f>SUM(H9)</f>
        <v>5750</v>
      </c>
      <c r="I20" s="66">
        <f>SUM(K9/H20)</f>
        <v>0.03124976417391304</v>
      </c>
      <c r="J20" s="69"/>
      <c r="K20" s="70"/>
    </row>
    <row r="21" spans="1:5" ht="15" customHeight="1" thickBot="1">
      <c r="A21" s="21" t="s">
        <v>93</v>
      </c>
      <c r="B21" s="19">
        <f>SUM((B17+B18+B19)*A17)</f>
        <v>593.136</v>
      </c>
      <c r="C21" s="178">
        <f>SUM('Club Single Fee calculator'!C21)</f>
        <v>200</v>
      </c>
      <c r="D21" s="27">
        <f>SUM(C20/C21)</f>
        <v>0.03205664</v>
      </c>
      <c r="E21" s="22"/>
    </row>
    <row r="22" spans="1:9" ht="15" customHeight="1">
      <c r="A22" s="21" t="s">
        <v>5</v>
      </c>
      <c r="B22" s="28">
        <f>SUM(A17*B18)</f>
        <v>180</v>
      </c>
      <c r="C22" s="24"/>
      <c r="D22" s="24"/>
      <c r="E22" s="22"/>
      <c r="G22" s="231" t="s">
        <v>74</v>
      </c>
      <c r="H22" s="232"/>
      <c r="I22" s="233"/>
    </row>
    <row r="23" spans="1:14" ht="15" customHeight="1">
      <c r="A23" s="21" t="s">
        <v>36</v>
      </c>
      <c r="B23" s="28">
        <f>SUM(A17*B19)</f>
        <v>132</v>
      </c>
      <c r="C23" s="24"/>
      <c r="D23" s="29"/>
      <c r="E23" s="22"/>
      <c r="G23" s="229" t="s">
        <v>18</v>
      </c>
      <c r="H23" s="234"/>
      <c r="I23" s="235">
        <v>18</v>
      </c>
      <c r="K23" s="1"/>
      <c r="L23" s="2"/>
      <c r="M23" s="76"/>
      <c r="N23" s="76"/>
    </row>
    <row r="24" spans="1:14" ht="15" customHeight="1">
      <c r="A24" s="21" t="s">
        <v>52</v>
      </c>
      <c r="B24" s="19">
        <f>SUM(D17)</f>
        <v>12.369983999999999</v>
      </c>
      <c r="C24" s="29" t="s">
        <v>94</v>
      </c>
      <c r="D24" s="19"/>
      <c r="E24" s="22"/>
      <c r="G24" s="229" t="s">
        <v>13</v>
      </c>
      <c r="H24" s="234"/>
      <c r="I24" s="235">
        <v>3</v>
      </c>
      <c r="J24" s="76"/>
      <c r="K24" s="76"/>
      <c r="L24" s="77"/>
      <c r="M24" s="78"/>
      <c r="N24" s="76"/>
    </row>
    <row r="25" spans="1:14" ht="15" customHeight="1" thickBot="1">
      <c r="A25" s="30" t="s">
        <v>7</v>
      </c>
      <c r="B25" s="31">
        <f>SUM(B20-B22-B23-B24)</f>
        <v>275.630016</v>
      </c>
      <c r="C25" s="32"/>
      <c r="D25" s="33"/>
      <c r="E25" s="34"/>
      <c r="G25" s="229" t="s">
        <v>76</v>
      </c>
      <c r="H25" s="179">
        <v>1</v>
      </c>
      <c r="I25" s="180">
        <f>SUM(H25*3)</f>
        <v>3</v>
      </c>
      <c r="J25" s="130"/>
      <c r="K25" s="130"/>
      <c r="L25" s="130"/>
      <c r="M25" s="78"/>
      <c r="N25" s="76"/>
    </row>
    <row r="26" spans="7:14" ht="15" customHeight="1" thickBot="1">
      <c r="G26" s="228" t="s">
        <v>88</v>
      </c>
      <c r="H26" s="234"/>
      <c r="I26" s="181">
        <v>1</v>
      </c>
      <c r="J26" s="130"/>
      <c r="K26" s="130"/>
      <c r="L26" s="130"/>
      <c r="M26" s="78"/>
      <c r="N26" s="76"/>
    </row>
    <row r="27" spans="1:13" ht="15" customHeight="1" thickBot="1">
      <c r="A27" s="13" t="s">
        <v>26</v>
      </c>
      <c r="B27" s="95">
        <f>SUM(B3*2)</f>
        <v>212</v>
      </c>
      <c r="C27" s="36">
        <f>SUM(C3)</f>
        <v>1</v>
      </c>
      <c r="D27" s="209"/>
      <c r="E27" s="251" t="s">
        <v>22</v>
      </c>
      <c r="G27" s="228" t="s">
        <v>87</v>
      </c>
      <c r="H27" s="3"/>
      <c r="I27" s="181">
        <v>0</v>
      </c>
      <c r="J27" s="79"/>
      <c r="K27" s="74"/>
      <c r="L27" s="80"/>
      <c r="M27" s="76"/>
    </row>
    <row r="28" spans="1:13" ht="15" customHeight="1" thickBot="1">
      <c r="A28" s="16" t="s">
        <v>14</v>
      </c>
      <c r="B28" s="249" t="s">
        <v>4</v>
      </c>
      <c r="C28" s="249"/>
      <c r="D28" s="210"/>
      <c r="E28" s="252"/>
      <c r="G28" s="229"/>
      <c r="H28" s="234"/>
      <c r="I28" s="238">
        <f>SUM(I23:I27)</f>
        <v>25</v>
      </c>
      <c r="J28" s="75"/>
      <c r="K28" s="82"/>
      <c r="L28" s="78"/>
      <c r="M28" s="76"/>
    </row>
    <row r="29" spans="1:13" ht="15" customHeight="1" thickBot="1" thickTop="1">
      <c r="A29" s="183">
        <f>SUM(H25)</f>
        <v>1</v>
      </c>
      <c r="B29" s="109">
        <f>SUM('Club Single Fee calculator'!B29)</f>
        <v>205.664</v>
      </c>
      <c r="C29" s="97">
        <f>SUM('Club Single Fee calculator'!C29)</f>
        <v>9.049216</v>
      </c>
      <c r="D29" s="61">
        <f>SUM(A29*C29*C27)</f>
        <v>9.049216</v>
      </c>
      <c r="E29" s="20"/>
      <c r="G29" s="230"/>
      <c r="H29" s="236"/>
      <c r="I29" s="237"/>
      <c r="J29" s="75"/>
      <c r="K29" s="82"/>
      <c r="L29" s="78"/>
      <c r="M29" s="76"/>
    </row>
    <row r="30" spans="1:13" ht="15" customHeight="1">
      <c r="A30" s="21" t="s">
        <v>12</v>
      </c>
      <c r="B30" s="37">
        <f>SUM(B6*2)</f>
        <v>180</v>
      </c>
      <c r="C30" s="97">
        <f>SUM('Club Single Fee calculator'!C30)</f>
        <v>3.96</v>
      </c>
      <c r="D30" s="61">
        <f>SUM(A29*C30*C27)</f>
        <v>3.96</v>
      </c>
      <c r="E30" s="22"/>
      <c r="H30" s="78"/>
      <c r="I30" s="81"/>
      <c r="J30" s="76"/>
      <c r="K30" s="77"/>
      <c r="L30" s="76"/>
      <c r="M30" s="76"/>
    </row>
    <row r="31" spans="1:13" ht="15" customHeight="1">
      <c r="A31" s="21" t="s">
        <v>39</v>
      </c>
      <c r="B31" s="37">
        <f>SUM(B7*2)</f>
        <v>108</v>
      </c>
      <c r="C31" s="97">
        <f>SUM('Club Single Fee calculator'!C31)</f>
        <v>2.376</v>
      </c>
      <c r="D31" s="61">
        <f>SUM(A29*C31*C27)</f>
        <v>2.376</v>
      </c>
      <c r="E31" s="22"/>
      <c r="H31" s="76"/>
      <c r="I31" s="76"/>
      <c r="J31" s="76"/>
      <c r="K31" s="77"/>
      <c r="L31" s="76"/>
      <c r="M31" s="87"/>
    </row>
    <row r="32" spans="1:13" ht="15" customHeight="1" thickBot="1">
      <c r="A32" s="23" t="s">
        <v>6</v>
      </c>
      <c r="B32" s="105">
        <f>SUM(C33*A29)</f>
        <v>500</v>
      </c>
      <c r="C32" s="98">
        <f>SUM(C29:C31)</f>
        <v>15.385215999999998</v>
      </c>
      <c r="D32" s="99">
        <f>SUM(D29:D31)</f>
        <v>15.385215999999998</v>
      </c>
      <c r="E32" s="26">
        <f>SUM(D32/A29/3)</f>
        <v>5.128405333333332</v>
      </c>
      <c r="H32" s="76"/>
      <c r="I32" s="76"/>
      <c r="J32" s="85"/>
      <c r="K32" s="86"/>
      <c r="L32" s="86"/>
      <c r="M32" s="87"/>
    </row>
    <row r="33" spans="1:13" ht="15" customHeight="1" thickBot="1">
      <c r="A33" s="21" t="s">
        <v>93</v>
      </c>
      <c r="B33" s="19">
        <f>SUM((B29+B30+B31)*A29)</f>
        <v>493.664</v>
      </c>
      <c r="C33" s="177">
        <f>SUM('Club Single Fee calculator'!C33)</f>
        <v>500</v>
      </c>
      <c r="D33" s="27">
        <f>SUM(C32/C33)</f>
        <v>0.030770431999999997</v>
      </c>
      <c r="E33" s="22"/>
      <c r="F33" s="107"/>
      <c r="H33" s="83"/>
      <c r="I33" s="84"/>
      <c r="J33" s="88"/>
      <c r="K33" s="89"/>
      <c r="L33" s="88"/>
      <c r="M33" s="90"/>
    </row>
    <row r="34" spans="1:13" ht="15" customHeight="1">
      <c r="A34" s="21" t="s">
        <v>5</v>
      </c>
      <c r="B34" s="28">
        <f>SUM(A29*B30)</f>
        <v>180</v>
      </c>
      <c r="C34" s="24"/>
      <c r="D34" s="24"/>
      <c r="E34" s="22"/>
      <c r="H34" s="88"/>
      <c r="I34" s="88"/>
      <c r="J34" s="89"/>
      <c r="K34" s="89"/>
      <c r="L34" s="89"/>
      <c r="M34" s="90"/>
    </row>
    <row r="35" spans="1:13" ht="15" customHeight="1">
      <c r="A35" s="21" t="s">
        <v>36</v>
      </c>
      <c r="B35" s="28">
        <f>SUM(A29*B31)</f>
        <v>108</v>
      </c>
      <c r="C35" s="24"/>
      <c r="D35" s="29"/>
      <c r="E35" s="22"/>
      <c r="H35" s="88"/>
      <c r="I35" s="89"/>
      <c r="J35" s="89"/>
      <c r="K35" s="89"/>
      <c r="L35" s="89"/>
      <c r="M35" s="90"/>
    </row>
    <row r="36" spans="1:13" ht="15" customHeight="1">
      <c r="A36" s="21" t="s">
        <v>52</v>
      </c>
      <c r="B36" s="19">
        <f>SUM(D29)</f>
        <v>9.049216</v>
      </c>
      <c r="C36" s="29" t="s">
        <v>94</v>
      </c>
      <c r="D36" s="19"/>
      <c r="E36" s="22"/>
      <c r="H36" s="88"/>
      <c r="I36" s="89"/>
      <c r="J36" s="89"/>
      <c r="K36" s="89"/>
      <c r="L36" s="89"/>
      <c r="M36" s="90"/>
    </row>
    <row r="37" spans="1:13" ht="15" customHeight="1" thickBot="1">
      <c r="A37" s="30" t="s">
        <v>7</v>
      </c>
      <c r="B37" s="31">
        <f>SUM(B32-B34-B35-B36)</f>
        <v>202.950784</v>
      </c>
      <c r="C37" s="32"/>
      <c r="D37" s="33"/>
      <c r="E37" s="34"/>
      <c r="H37" s="88"/>
      <c r="I37" s="89"/>
      <c r="J37" s="89"/>
      <c r="K37" s="89"/>
      <c r="L37" s="89"/>
      <c r="M37" s="90"/>
    </row>
    <row r="38" spans="8:13" ht="15" customHeight="1" thickBot="1">
      <c r="H38" s="88"/>
      <c r="I38" s="89"/>
      <c r="J38" s="89"/>
      <c r="K38" s="89"/>
      <c r="L38" s="89"/>
      <c r="M38" s="90"/>
    </row>
    <row r="39" spans="1:13" ht="15" customHeight="1" thickBot="1">
      <c r="A39" s="13" t="s">
        <v>40</v>
      </c>
      <c r="B39" s="121">
        <f>SUM('Club Single Fee calculator'!B41)</f>
        <v>150</v>
      </c>
      <c r="C39" s="162">
        <f>SUM(C3)</f>
        <v>1</v>
      </c>
      <c r="D39" s="209"/>
      <c r="E39" s="14"/>
      <c r="H39" s="88"/>
      <c r="I39" s="89"/>
      <c r="J39" s="89"/>
      <c r="K39" s="89"/>
      <c r="L39" s="89"/>
      <c r="M39" s="90"/>
    </row>
    <row r="40" spans="1:13" ht="15" customHeight="1" thickBot="1">
      <c r="A40" s="16" t="s">
        <v>85</v>
      </c>
      <c r="B40" s="249" t="s">
        <v>4</v>
      </c>
      <c r="C40" s="249"/>
      <c r="D40" s="210"/>
      <c r="E40" s="17" t="s">
        <v>0</v>
      </c>
      <c r="H40" s="88"/>
      <c r="I40" s="89"/>
      <c r="J40" s="89"/>
      <c r="K40" s="89"/>
      <c r="L40" s="89"/>
      <c r="M40" s="90"/>
    </row>
    <row r="41" spans="1:13" ht="15" customHeight="1" thickBot="1">
      <c r="A41" s="182">
        <f>SUM(I26)</f>
        <v>1</v>
      </c>
      <c r="B41" s="122">
        <f>SUM(B39*A41)+D42+D43</f>
        <v>150</v>
      </c>
      <c r="C41" s="97">
        <f>SUM('Club Single Fee calculator'!C41)</f>
        <v>6.6</v>
      </c>
      <c r="D41" s="61">
        <f>SUM(A41*C41*C39)</f>
        <v>6.6</v>
      </c>
      <c r="E41" s="20"/>
      <c r="H41" s="88"/>
      <c r="I41" s="89"/>
      <c r="J41" s="89"/>
      <c r="K41" s="89"/>
      <c r="L41" s="89"/>
      <c r="M41" s="90"/>
    </row>
    <row r="42" spans="1:13" ht="15" customHeight="1" thickBot="1">
      <c r="A42" s="21"/>
      <c r="B42" s="124">
        <v>0</v>
      </c>
      <c r="C42" s="97">
        <f>SUM('Club Single Fee calculator'!C42)</f>
        <v>0</v>
      </c>
      <c r="D42" s="61">
        <f>SUM(A41*C42*C39)</f>
        <v>0</v>
      </c>
      <c r="E42" s="22"/>
      <c r="H42" s="88"/>
      <c r="I42" s="89"/>
      <c r="J42" s="89"/>
      <c r="K42" s="89"/>
      <c r="L42" s="89"/>
      <c r="M42" s="90"/>
    </row>
    <row r="43" spans="1:13" ht="15" customHeight="1" thickBot="1">
      <c r="A43" s="21" t="s">
        <v>35</v>
      </c>
      <c r="B43" s="124">
        <f>SUM('Club Single Fee calculator'!B47)</f>
        <v>0</v>
      </c>
      <c r="C43" s="97">
        <f>SUM('Club Single Fee calculator'!C43)</f>
        <v>0</v>
      </c>
      <c r="D43" s="61">
        <f>SUM(A41*C43*C39)</f>
        <v>0</v>
      </c>
      <c r="E43" s="22"/>
      <c r="H43" s="88"/>
      <c r="I43" s="89"/>
      <c r="J43" s="89"/>
      <c r="K43" s="89"/>
      <c r="L43" s="89"/>
      <c r="M43" s="90"/>
    </row>
    <row r="44" spans="1:13" ht="15" customHeight="1" thickBot="1">
      <c r="A44" s="23" t="s">
        <v>6</v>
      </c>
      <c r="B44" s="105">
        <f>SUM(B41)+(B42*A41)+(B43*A41)</f>
        <v>150</v>
      </c>
      <c r="C44" s="98">
        <f>SUM(C41:C43)</f>
        <v>6.6</v>
      </c>
      <c r="D44" s="99">
        <f>SUM(D41:D43)</f>
        <v>6.6</v>
      </c>
      <c r="E44" s="26">
        <f>SUM(D44/A41)</f>
        <v>6.6</v>
      </c>
      <c r="H44" s="88"/>
      <c r="I44" s="89"/>
      <c r="J44" s="89"/>
      <c r="K44" s="89"/>
      <c r="L44" s="89"/>
      <c r="M44" s="90"/>
    </row>
    <row r="45" spans="1:13" ht="15" customHeight="1" thickBot="1">
      <c r="A45" s="21" t="s">
        <v>93</v>
      </c>
      <c r="B45" s="239">
        <f>SUM(B41/A41)+B42+B43</f>
        <v>150</v>
      </c>
      <c r="C45" s="177">
        <f>SUM('Club Single Fee calculator'!C45)</f>
        <v>150</v>
      </c>
      <c r="D45" s="101">
        <f>SUM(C44/B45)</f>
        <v>0.044</v>
      </c>
      <c r="E45" s="22"/>
      <c r="H45" s="88"/>
      <c r="I45" s="89"/>
      <c r="J45" s="89"/>
      <c r="K45" s="91"/>
      <c r="L45" s="89"/>
      <c r="M45" s="90"/>
    </row>
    <row r="46" spans="1:12" ht="15" customHeight="1">
      <c r="A46" s="21" t="s">
        <v>5</v>
      </c>
      <c r="B46" s="28">
        <f>SUM(A41*B42)</f>
        <v>0</v>
      </c>
      <c r="C46" s="100"/>
      <c r="D46" s="100"/>
      <c r="E46" s="22"/>
      <c r="H46" s="88"/>
      <c r="I46" s="89"/>
      <c r="J46" s="89"/>
      <c r="K46" s="89"/>
      <c r="L46" s="89"/>
    </row>
    <row r="47" spans="1:9" ht="15" customHeight="1">
      <c r="A47" s="21" t="s">
        <v>36</v>
      </c>
      <c r="B47" s="28">
        <f>SUM(A41*B43)</f>
        <v>0</v>
      </c>
      <c r="C47" s="100"/>
      <c r="D47" s="102"/>
      <c r="E47" s="22"/>
      <c r="H47" s="88"/>
      <c r="I47" s="89"/>
    </row>
    <row r="48" spans="1:5" ht="15" customHeight="1">
      <c r="A48" s="21" t="s">
        <v>52</v>
      </c>
      <c r="B48" s="19">
        <f>SUM(D41)</f>
        <v>6.6</v>
      </c>
      <c r="C48" s="29" t="s">
        <v>94</v>
      </c>
      <c r="D48" s="61"/>
      <c r="E48" s="22"/>
    </row>
    <row r="49" spans="1:5" ht="15" customHeight="1" thickBot="1">
      <c r="A49" s="30" t="s">
        <v>7</v>
      </c>
      <c r="B49" s="31">
        <f>SUM(B44-B46-B47-B48)</f>
        <v>143.4</v>
      </c>
      <c r="C49" s="103"/>
      <c r="D49" s="104"/>
      <c r="E49" s="34"/>
    </row>
    <row r="50" ht="15" customHeight="1" thickBot="1"/>
    <row r="51" spans="1:6" ht="19.5" thickBot="1">
      <c r="A51" s="13" t="s">
        <v>40</v>
      </c>
      <c r="B51" s="108">
        <f>SUM('Club Single Fee calculator'!I58)</f>
        <v>15.9</v>
      </c>
      <c r="C51" s="184">
        <f>SUM('Club Single Fee calculator'!C51)</f>
        <v>1</v>
      </c>
      <c r="D51" s="209"/>
      <c r="E51" s="14"/>
      <c r="F51" s="2"/>
    </row>
    <row r="52" spans="1:11" ht="15" customHeight="1" thickBot="1">
      <c r="A52" s="16" t="s">
        <v>86</v>
      </c>
      <c r="B52" s="249" t="s">
        <v>4</v>
      </c>
      <c r="C52" s="249"/>
      <c r="D52" s="210"/>
      <c r="E52" s="17" t="s">
        <v>0</v>
      </c>
      <c r="F52" s="2"/>
      <c r="G52" s="1"/>
      <c r="J52" s="2"/>
      <c r="K52" s="1"/>
    </row>
    <row r="53" spans="1:11" ht="15" customHeight="1" thickBot="1">
      <c r="A53" s="182">
        <f>SUM(I27)</f>
        <v>0</v>
      </c>
      <c r="B53" s="123">
        <f>SUM('Club Single Fee calculator'!B53)</f>
        <v>15.369799999999998</v>
      </c>
      <c r="C53" s="97">
        <f>SUM('Club Single Fee calculator'!C53)</f>
        <v>0.6762711999999999</v>
      </c>
      <c r="D53" s="120">
        <f>SUM(A53*C53*C51)</f>
        <v>0</v>
      </c>
      <c r="E53" s="20"/>
      <c r="F53" s="2"/>
      <c r="G53" s="1"/>
      <c r="J53" s="2"/>
      <c r="K53" s="1"/>
    </row>
    <row r="54" spans="1:11" ht="15" customHeight="1" thickBot="1">
      <c r="A54" s="21" t="s">
        <v>3</v>
      </c>
      <c r="B54" s="124">
        <f>SUM('Club Single Fee calculator'!B54)</f>
        <v>24</v>
      </c>
      <c r="C54" s="97">
        <f>SUM('Club Single Fee calculator'!C54)</f>
        <v>0.528</v>
      </c>
      <c r="D54" s="19">
        <f>SUM(A53*C54*C51)</f>
        <v>0</v>
      </c>
      <c r="E54" s="22"/>
      <c r="F54" s="2"/>
      <c r="G54" s="1"/>
      <c r="J54" s="2"/>
      <c r="K54" s="1"/>
    </row>
    <row r="55" spans="1:11" ht="15" customHeight="1" thickBot="1">
      <c r="A55" s="21" t="s">
        <v>35</v>
      </c>
      <c r="B55" s="124">
        <f>SUM('Club Single Fee calculator'!B55)</f>
        <v>0.1</v>
      </c>
      <c r="C55" s="97">
        <f>SUM('Club Single Fee calculator'!C55)</f>
        <v>0.0022</v>
      </c>
      <c r="D55" s="19">
        <f>SUM(A53*C55*C51)</f>
        <v>0</v>
      </c>
      <c r="E55" s="22"/>
      <c r="F55" s="2"/>
      <c r="G55" s="1"/>
      <c r="J55" s="2"/>
      <c r="K55" s="1"/>
    </row>
    <row r="56" spans="1:11" ht="15" customHeight="1" thickBot="1">
      <c r="A56" s="23" t="s">
        <v>6</v>
      </c>
      <c r="B56" s="105">
        <f>SUM(B53*A53)+(B54*A53)+(B55*A53)</f>
        <v>0</v>
      </c>
      <c r="C56" s="96">
        <f>SUM(C53:C55)</f>
        <v>1.2064712</v>
      </c>
      <c r="D56" s="25">
        <f>SUM(D53:D55)</f>
        <v>0</v>
      </c>
      <c r="E56" s="26" t="e">
        <f>SUM(D56/A53)</f>
        <v>#DIV/0!</v>
      </c>
      <c r="F56" s="2"/>
      <c r="G56" s="1"/>
      <c r="J56" s="2"/>
      <c r="K56" s="1"/>
    </row>
    <row r="57" spans="1:11" ht="15" customHeight="1" thickBot="1">
      <c r="A57" s="21" t="s">
        <v>93</v>
      </c>
      <c r="B57" s="19">
        <f>SUM(B53:B55)</f>
        <v>39.4698</v>
      </c>
      <c r="C57" s="178">
        <f>SUM('Club Single Fee calculator'!C57)</f>
        <v>40</v>
      </c>
      <c r="D57" s="27">
        <f>SUM(C56/C57)</f>
        <v>0.03016178</v>
      </c>
      <c r="E57" s="22"/>
      <c r="F57" s="2"/>
      <c r="G57" s="1"/>
      <c r="J57" s="2"/>
      <c r="K57" s="1"/>
    </row>
    <row r="58" spans="1:11" ht="15" customHeight="1">
      <c r="A58" s="21" t="s">
        <v>5</v>
      </c>
      <c r="B58" s="28">
        <f>SUM(A53*B54)</f>
        <v>0</v>
      </c>
      <c r="C58" s="24"/>
      <c r="D58" s="24"/>
      <c r="E58" s="22"/>
      <c r="F58" s="2"/>
      <c r="G58" s="1"/>
      <c r="J58" s="2"/>
      <c r="K58" s="1"/>
    </row>
    <row r="59" spans="1:11" ht="15" customHeight="1">
      <c r="A59" s="21" t="s">
        <v>36</v>
      </c>
      <c r="B59" s="28">
        <f>SUM(A53*B55)</f>
        <v>0</v>
      </c>
      <c r="C59" s="24"/>
      <c r="D59" s="29"/>
      <c r="E59" s="22"/>
      <c r="F59" s="2"/>
      <c r="G59" s="1"/>
      <c r="J59" s="2"/>
      <c r="K59" s="1"/>
    </row>
    <row r="60" spans="1:11" ht="15" customHeight="1">
      <c r="A60" s="21" t="s">
        <v>52</v>
      </c>
      <c r="B60" s="19">
        <f>SUM(D56)</f>
        <v>0</v>
      </c>
      <c r="C60" s="29" t="s">
        <v>94</v>
      </c>
      <c r="D60" s="19"/>
      <c r="E60" s="22"/>
      <c r="F60" s="2"/>
      <c r="G60" s="1"/>
      <c r="J60" s="2"/>
      <c r="K60" s="1"/>
    </row>
    <row r="61" spans="1:11" ht="15" customHeight="1" thickBot="1">
      <c r="A61" s="30" t="s">
        <v>7</v>
      </c>
      <c r="B61" s="31">
        <f>SUM(B56-B58-B59-B60)</f>
        <v>0</v>
      </c>
      <c r="C61" s="32"/>
      <c r="D61" s="33"/>
      <c r="E61" s="34"/>
      <c r="F61" s="2"/>
      <c r="G61" s="1"/>
      <c r="J61" s="2"/>
      <c r="K61" s="1"/>
    </row>
    <row r="62" spans="7:11" ht="15" customHeight="1">
      <c r="G62" s="1"/>
      <c r="J62" s="2"/>
      <c r="K62" s="1"/>
    </row>
    <row r="63" ht="15" customHeight="1"/>
    <row r="64" ht="15" customHeight="1"/>
    <row r="65" ht="15" customHeight="1"/>
    <row r="66" ht="15" customHeight="1"/>
    <row r="67" ht="15" customHeight="1"/>
    <row r="68" ht="15" customHeight="1"/>
    <row r="69" ht="15" customHeight="1"/>
  </sheetData>
  <sheetProtection password="CAD9" sheet="1"/>
  <mergeCells count="17">
    <mergeCell ref="J2:J3"/>
    <mergeCell ref="B52:C52"/>
    <mergeCell ref="K2:K3"/>
    <mergeCell ref="L2:L3"/>
    <mergeCell ref="B4:C4"/>
    <mergeCell ref="I12:J12"/>
    <mergeCell ref="L13:L15"/>
    <mergeCell ref="J16:J17"/>
    <mergeCell ref="B16:C16"/>
    <mergeCell ref="B2:F2"/>
    <mergeCell ref="B40:C40"/>
    <mergeCell ref="H2:H3"/>
    <mergeCell ref="A1:B1"/>
    <mergeCell ref="E27:E28"/>
    <mergeCell ref="B28:C28"/>
    <mergeCell ref="I2:I3"/>
    <mergeCell ref="G2:G3"/>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J25"/>
  <sheetViews>
    <sheetView zoomScale="80" zoomScaleNormal="80" zoomScalePageLayoutView="0" workbookViewId="0" topLeftCell="A1">
      <selection activeCell="D18" sqref="D18"/>
    </sheetView>
  </sheetViews>
  <sheetFormatPr defaultColWidth="9.140625" defaultRowHeight="15"/>
  <cols>
    <col min="1" max="1" width="15.140625" style="7" customWidth="1"/>
    <col min="2" max="2" width="17.28125" style="7" customWidth="1"/>
    <col min="3" max="3" width="16.421875" style="7" customWidth="1"/>
    <col min="4" max="4" width="17.00390625" style="7" customWidth="1"/>
    <col min="5" max="5" width="3.57421875" style="7" customWidth="1"/>
    <col min="6" max="6" width="13.28125" style="7" customWidth="1"/>
    <col min="7" max="7" width="16.57421875" style="7" customWidth="1"/>
    <col min="8" max="8" width="16.140625" style="7" bestFit="1" customWidth="1"/>
    <col min="9" max="9" width="17.7109375" style="7" bestFit="1" customWidth="1"/>
    <col min="10" max="16384" width="9.140625" style="7" customWidth="1"/>
  </cols>
  <sheetData>
    <row r="1" spans="1:8" ht="42" customHeight="1" thickBot="1">
      <c r="A1" s="278" t="s">
        <v>29</v>
      </c>
      <c r="B1" s="279"/>
      <c r="C1" s="280"/>
      <c r="D1" s="6"/>
      <c r="E1" s="6"/>
      <c r="F1" s="278" t="s">
        <v>29</v>
      </c>
      <c r="G1" s="279"/>
      <c r="H1" s="280"/>
    </row>
    <row r="2" spans="1:9" ht="15" customHeight="1">
      <c r="A2" s="278" t="s">
        <v>33</v>
      </c>
      <c r="B2" s="279"/>
      <c r="C2" s="280"/>
      <c r="D2" s="324" t="s">
        <v>71</v>
      </c>
      <c r="E2" s="152"/>
      <c r="F2" s="272" t="s">
        <v>82</v>
      </c>
      <c r="G2" s="273"/>
      <c r="H2" s="273"/>
      <c r="I2" s="273"/>
    </row>
    <row r="3" spans="1:9" ht="15" customHeight="1">
      <c r="A3" s="288"/>
      <c r="B3" s="289"/>
      <c r="C3" s="290"/>
      <c r="D3" s="325"/>
      <c r="E3" s="152"/>
      <c r="F3" s="272"/>
      <c r="G3" s="273"/>
      <c r="H3" s="273"/>
      <c r="I3" s="273"/>
    </row>
    <row r="4" spans="1:9" ht="15.75" customHeight="1" thickBot="1">
      <c r="A4" s="288"/>
      <c r="B4" s="289"/>
      <c r="C4" s="290"/>
      <c r="D4" s="325"/>
      <c r="E4" s="152"/>
      <c r="F4" s="272"/>
      <c r="G4" s="273"/>
      <c r="H4" s="273"/>
      <c r="I4" s="273"/>
    </row>
    <row r="5" spans="1:9" ht="32.25" thickBot="1">
      <c r="A5" s="291"/>
      <c r="B5" s="292"/>
      <c r="C5" s="293"/>
      <c r="D5" s="326"/>
      <c r="E5" s="152"/>
      <c r="F5" s="138"/>
      <c r="G5" s="139"/>
      <c r="H5" s="142" t="s">
        <v>60</v>
      </c>
      <c r="I5" s="143" t="s">
        <v>59</v>
      </c>
    </row>
    <row r="6" spans="1:9" ht="15" customHeight="1">
      <c r="A6" s="285" t="s">
        <v>2</v>
      </c>
      <c r="B6" s="322" t="s">
        <v>57</v>
      </c>
      <c r="C6" s="320">
        <f>SUM((C16*A20)*50%)/A9</f>
        <v>0.17111111111111113</v>
      </c>
      <c r="D6" s="332">
        <f>SUM((D16*A20)*25%)/A9</f>
        <v>0</v>
      </c>
      <c r="F6" s="285" t="s">
        <v>2</v>
      </c>
      <c r="G6" s="297" t="s">
        <v>57</v>
      </c>
      <c r="H6" s="274">
        <f>SUM((H16*F20)*50%)/F9</f>
        <v>0.17111111111111113</v>
      </c>
      <c r="I6" s="328">
        <f>SUM((I16*F20)*50%)/F9</f>
        <v>0</v>
      </c>
    </row>
    <row r="7" spans="1:9" ht="18.75" customHeight="1">
      <c r="A7" s="286"/>
      <c r="B7" s="323"/>
      <c r="C7" s="321"/>
      <c r="D7" s="333"/>
      <c r="F7" s="286"/>
      <c r="G7" s="298"/>
      <c r="H7" s="275"/>
      <c r="I7" s="329"/>
    </row>
    <row r="8" spans="1:9" ht="15.75" thickBot="1">
      <c r="A8" s="287"/>
      <c r="B8" s="323"/>
      <c r="C8" s="321"/>
      <c r="D8" s="333"/>
      <c r="F8" s="286"/>
      <c r="G8" s="298"/>
      <c r="H8" s="275"/>
      <c r="I8" s="329"/>
    </row>
    <row r="9" spans="1:9" ht="24" customHeight="1" thickBot="1">
      <c r="A9" s="294">
        <v>90</v>
      </c>
      <c r="B9" s="323"/>
      <c r="C9" s="321"/>
      <c r="D9" s="333"/>
      <c r="F9" s="315">
        <f>SUM(A9)</f>
        <v>90</v>
      </c>
      <c r="G9" s="299"/>
      <c r="H9" s="275"/>
      <c r="I9" s="329"/>
    </row>
    <row r="10" spans="1:9" ht="15" customHeight="1">
      <c r="A10" s="295"/>
      <c r="B10" s="306" t="s">
        <v>58</v>
      </c>
      <c r="C10" s="309">
        <f>SUM((C16*A20)*100%)/A9</f>
        <v>0.34222222222222226</v>
      </c>
      <c r="D10" s="312">
        <f>SUM((D16*A20)*50%)/A9</f>
        <v>0</v>
      </c>
      <c r="F10" s="315"/>
      <c r="G10" s="334" t="s">
        <v>58</v>
      </c>
      <c r="H10" s="276">
        <f>SUM((H16*F20)*100%)/F9</f>
        <v>0.34222222222222226</v>
      </c>
      <c r="I10" s="330">
        <f>SUM((I16*F20)*100%)/F9</f>
        <v>0</v>
      </c>
    </row>
    <row r="11" spans="1:9" ht="15">
      <c r="A11" s="295"/>
      <c r="B11" s="307"/>
      <c r="C11" s="310"/>
      <c r="D11" s="313"/>
      <c r="F11" s="315"/>
      <c r="G11" s="335"/>
      <c r="H11" s="276"/>
      <c r="I11" s="330"/>
    </row>
    <row r="12" spans="1:9" ht="15">
      <c r="A12" s="295"/>
      <c r="B12" s="307"/>
      <c r="C12" s="310"/>
      <c r="D12" s="313"/>
      <c r="F12" s="315"/>
      <c r="G12" s="335"/>
      <c r="H12" s="276"/>
      <c r="I12" s="330"/>
    </row>
    <row r="13" spans="1:9" ht="15.75" thickBot="1">
      <c r="A13" s="295"/>
      <c r="B13" s="307"/>
      <c r="C13" s="310"/>
      <c r="D13" s="313"/>
      <c r="F13" s="315"/>
      <c r="G13" s="335"/>
      <c r="H13" s="277"/>
      <c r="I13" s="331"/>
    </row>
    <row r="14" spans="1:9" ht="26.25" thickBot="1">
      <c r="A14" s="296"/>
      <c r="B14" s="308"/>
      <c r="C14" s="311"/>
      <c r="D14" s="314"/>
      <c r="F14" s="315"/>
      <c r="G14" s="336"/>
      <c r="H14" s="157" t="s">
        <v>65</v>
      </c>
      <c r="I14" s="158" t="s">
        <v>66</v>
      </c>
    </row>
    <row r="15" spans="1:10" ht="30.75" thickBot="1">
      <c r="A15" s="283" t="s">
        <v>68</v>
      </c>
      <c r="B15" s="149" t="s">
        <v>30</v>
      </c>
      <c r="C15" s="304">
        <v>20</v>
      </c>
      <c r="D15" s="305"/>
      <c r="F15" s="281" t="s">
        <v>68</v>
      </c>
      <c r="G15" s="171" t="s">
        <v>30</v>
      </c>
      <c r="H15" s="166">
        <f>SUM(H18-H16)</f>
        <v>18.9</v>
      </c>
      <c r="I15" s="167">
        <f>SUM(H18-I16)</f>
        <v>20</v>
      </c>
      <c r="J15" s="93"/>
    </row>
    <row r="16" spans="1:10" ht="15.75" thickBot="1">
      <c r="A16" s="282"/>
      <c r="B16" s="125" t="s">
        <v>28</v>
      </c>
      <c r="C16" s="155">
        <f>IF(C15&lt;=25,1.1)</f>
        <v>1.1</v>
      </c>
      <c r="D16" s="156" t="b">
        <f>IF(C15&gt;25,C15*4.4%)</f>
        <v>0</v>
      </c>
      <c r="E16" s="94"/>
      <c r="F16" s="282"/>
      <c r="G16" s="302" t="s">
        <v>28</v>
      </c>
      <c r="H16" s="300">
        <f>IF(H18&lt;=25,1.1)</f>
        <v>1.1</v>
      </c>
      <c r="I16" s="318" t="b">
        <f>IF(H15&gt;25,H15*4.4%)</f>
        <v>0</v>
      </c>
      <c r="J16" s="94"/>
    </row>
    <row r="17" spans="1:10" ht="26.25" thickBot="1">
      <c r="A17" s="282"/>
      <c r="B17" s="154"/>
      <c r="C17" s="157" t="s">
        <v>65</v>
      </c>
      <c r="D17" s="158" t="s">
        <v>66</v>
      </c>
      <c r="E17" s="94"/>
      <c r="F17" s="282"/>
      <c r="G17" s="303"/>
      <c r="H17" s="301"/>
      <c r="I17" s="319"/>
      <c r="J17" s="94"/>
    </row>
    <row r="18" spans="1:10" ht="24.75" customHeight="1" thickBot="1">
      <c r="A18" s="282"/>
      <c r="B18" s="168" t="s">
        <v>64</v>
      </c>
      <c r="C18" s="169">
        <f>SUM(C15+C16)</f>
        <v>21.1</v>
      </c>
      <c r="D18" s="170">
        <f>SUM(C15+D16)</f>
        <v>20</v>
      </c>
      <c r="E18" s="93"/>
      <c r="F18" s="282"/>
      <c r="G18" s="172" t="s">
        <v>63</v>
      </c>
      <c r="H18" s="327">
        <f>SUM(C15)</f>
        <v>20</v>
      </c>
      <c r="I18" s="327"/>
      <c r="J18" s="92"/>
    </row>
    <row r="19" spans="1:9" ht="15.75" thickBot="1">
      <c r="A19" s="284"/>
      <c r="B19" s="126"/>
      <c r="C19" s="127" t="s">
        <v>62</v>
      </c>
      <c r="D19" s="148" t="s">
        <v>62</v>
      </c>
      <c r="F19" s="282"/>
      <c r="G19" s="173"/>
      <c r="H19" s="147" t="s">
        <v>62</v>
      </c>
      <c r="I19" s="148" t="s">
        <v>62</v>
      </c>
    </row>
    <row r="20" spans="1:9" ht="27" thickBot="1">
      <c r="A20" s="8">
        <v>28</v>
      </c>
      <c r="B20" s="141"/>
      <c r="C20" s="128">
        <f>SUM(A20*C15)</f>
        <v>560</v>
      </c>
      <c r="D20" s="144">
        <f>SUM(A20*C15)</f>
        <v>560</v>
      </c>
      <c r="F20" s="174">
        <f>SUM(A20)</f>
        <v>28</v>
      </c>
      <c r="G20" s="141"/>
      <c r="H20" s="146">
        <f>SUM(F20*H15)</f>
        <v>529.1999999999999</v>
      </c>
      <c r="I20" s="144">
        <f>SUM(F20*I15)</f>
        <v>560</v>
      </c>
    </row>
    <row r="21" spans="3:9" ht="15.75" thickBot="1">
      <c r="C21" s="140" t="s">
        <v>60</v>
      </c>
      <c r="D21" s="150" t="s">
        <v>59</v>
      </c>
      <c r="H21" s="145" t="s">
        <v>60</v>
      </c>
      <c r="I21" s="151" t="s">
        <v>59</v>
      </c>
    </row>
    <row r="22" spans="2:9" ht="15">
      <c r="B22" s="159" t="s">
        <v>67</v>
      </c>
      <c r="C22" s="160">
        <f>SUM(C16*A20)</f>
        <v>30.800000000000004</v>
      </c>
      <c r="D22" s="160">
        <f>SUM(D16*A20)</f>
        <v>0</v>
      </c>
      <c r="E22" s="161"/>
      <c r="F22" s="161"/>
      <c r="G22" s="159" t="s">
        <v>67</v>
      </c>
      <c r="H22" s="160">
        <f>SUM(H16*F20)</f>
        <v>30.800000000000004</v>
      </c>
      <c r="I22" s="160">
        <f>SUM(I16*F20)</f>
        <v>0</v>
      </c>
    </row>
    <row r="23" spans="2:9" s="163" customFormat="1" ht="12" thickBot="1">
      <c r="B23" s="164" t="s">
        <v>70</v>
      </c>
      <c r="C23" s="165">
        <f>SUM((C22/(C18*A20)))</f>
        <v>0.05213270142180095</v>
      </c>
      <c r="D23" s="165">
        <f>SUM((D22/(D18*A20)))</f>
        <v>0</v>
      </c>
      <c r="G23" s="164" t="s">
        <v>70</v>
      </c>
      <c r="H23" s="165">
        <f>SUM((H22/(H18*F20)))</f>
        <v>0.05500000000000001</v>
      </c>
      <c r="I23" s="165">
        <f>SUM((I22/(H18*F20)))</f>
        <v>0</v>
      </c>
    </row>
    <row r="24" spans="4:7" ht="15">
      <c r="D24" s="153" t="s">
        <v>69</v>
      </c>
      <c r="E24" s="316" t="s">
        <v>50</v>
      </c>
      <c r="F24" s="316"/>
      <c r="G24" s="317"/>
    </row>
    <row r="25" spans="4:7" ht="15.75" thickBot="1">
      <c r="D25" s="129"/>
      <c r="E25" s="270" t="s">
        <v>61</v>
      </c>
      <c r="F25" s="270"/>
      <c r="G25" s="271"/>
    </row>
  </sheetData>
  <sheetProtection password="CAD9" sheet="1"/>
  <mergeCells count="30">
    <mergeCell ref="E24:G24"/>
    <mergeCell ref="I16:I17"/>
    <mergeCell ref="C6:C9"/>
    <mergeCell ref="B6:B9"/>
    <mergeCell ref="D2:D5"/>
    <mergeCell ref="H18:I18"/>
    <mergeCell ref="I6:I9"/>
    <mergeCell ref="I10:I13"/>
    <mergeCell ref="D6:D9"/>
    <mergeCell ref="G10:G14"/>
    <mergeCell ref="A2:C5"/>
    <mergeCell ref="A9:A14"/>
    <mergeCell ref="G6:G9"/>
    <mergeCell ref="H16:H17"/>
    <mergeCell ref="G16:G17"/>
    <mergeCell ref="C15:D15"/>
    <mergeCell ref="B10:B14"/>
    <mergeCell ref="C10:C14"/>
    <mergeCell ref="D10:D14"/>
    <mergeCell ref="F9:F14"/>
    <mergeCell ref="E25:G25"/>
    <mergeCell ref="F2:I4"/>
    <mergeCell ref="H6:H9"/>
    <mergeCell ref="H10:H13"/>
    <mergeCell ref="A1:C1"/>
    <mergeCell ref="F15:F19"/>
    <mergeCell ref="A15:A19"/>
    <mergeCell ref="A6:A8"/>
    <mergeCell ref="F1:H1"/>
    <mergeCell ref="F6:F8"/>
  </mergeCells>
  <printOptions horizontalCentered="1" verticalCentered="1"/>
  <pageMargins left="0.7086614173228347" right="0.7086614173228347" top="0.7480314960629921" bottom="0.7480314960629921" header="0.5" footer="0.31496062992125984"/>
  <pageSetup orientation="landscape" paperSize="9" r:id="rId3"/>
  <headerFooter>
    <oddHeader>&amp;C&amp;"-,Bold"ARCHERY South Australia - Tournaments/QREs Fees Calculator</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ARCHERY South Australia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blang;ARCHERY SA</dc:creator>
  <cp:keywords/>
  <dc:description>Developed by ARCHERY SA to Assist Clubs and RGBs to model the impact of Credit Card fees</dc:description>
  <cp:lastModifiedBy>Bruce-PC</cp:lastModifiedBy>
  <cp:lastPrinted>2018-06-01T13:39:49Z</cp:lastPrinted>
  <dcterms:created xsi:type="dcterms:W3CDTF">2012-04-28T10:10:18Z</dcterms:created>
  <dcterms:modified xsi:type="dcterms:W3CDTF">2019-07-06T07:01:27Z</dcterms:modified>
  <cp:category/>
  <cp:version/>
  <cp:contentType/>
  <cp:contentStatus/>
</cp:coreProperties>
</file>